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rzbistum-pb.de\EGV\User\Home\Kathrin.Greskoetter\Eigene Dokumente\My Music\"/>
    </mc:Choice>
  </mc:AlternateContent>
  <bookViews>
    <workbookView xWindow="0" yWindow="0" windowWidth="20490" windowHeight="6930"/>
  </bookViews>
  <sheets>
    <sheet name="Hauptblatt" sheetId="1" r:id="rId1"/>
    <sheet name="Anlage I" sheetId="2" r:id="rId2"/>
    <sheet name="Anlage II"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D9" i="3" l="1"/>
  <c r="D7" i="3" l="1"/>
  <c r="C15" i="1" l="1"/>
  <c r="B16" i="1" s="1"/>
  <c r="C33" i="1" l="1"/>
  <c r="C18" i="1"/>
  <c r="C39" i="1" l="1"/>
  <c r="C41" i="1" l="1"/>
  <c r="D6" i="3" s="1"/>
  <c r="A33" i="3" l="1"/>
  <c r="A14" i="3"/>
  <c r="A18" i="3"/>
  <c r="A22" i="3"/>
  <c r="A26" i="3"/>
  <c r="A30" i="3"/>
  <c r="A15" i="3"/>
  <c r="B33" i="3" s="1"/>
  <c r="A19" i="3"/>
  <c r="A23" i="3"/>
  <c r="A27" i="3"/>
  <c r="A31" i="3"/>
  <c r="A16" i="3"/>
  <c r="A20" i="3"/>
  <c r="A24" i="3"/>
  <c r="A28" i="3"/>
  <c r="A13" i="3"/>
  <c r="A17" i="3"/>
  <c r="A21" i="3"/>
  <c r="A25" i="3"/>
  <c r="A29" i="3"/>
  <c r="C43" i="1"/>
  <c r="B3" i="2"/>
  <c r="C20" i="1"/>
  <c r="C22" i="1" s="1"/>
  <c r="C23" i="1" s="1"/>
  <c r="E33" i="3" l="1"/>
  <c r="G33" i="3" s="1"/>
  <c r="C33" i="3"/>
  <c r="B30" i="3"/>
  <c r="C30" i="3" s="1"/>
  <c r="B25" i="3"/>
  <c r="C25" i="3" s="1"/>
  <c r="B24" i="3"/>
  <c r="C24" i="3" s="1"/>
  <c r="B23" i="3"/>
  <c r="C23" i="3" s="1"/>
  <c r="B18" i="3"/>
  <c r="C18" i="3" s="1"/>
  <c r="B16" i="3"/>
  <c r="B31" i="3"/>
  <c r="C31" i="3" s="1"/>
  <c r="B20" i="3"/>
  <c r="C20" i="3" s="1"/>
  <c r="B13" i="3"/>
  <c r="B29" i="3"/>
  <c r="C29" i="3" s="1"/>
  <c r="B28" i="3"/>
  <c r="C28" i="3" s="1"/>
  <c r="B27" i="3"/>
  <c r="C27" i="3" s="1"/>
  <c r="B22" i="3"/>
  <c r="C22" i="3" s="1"/>
  <c r="B17" i="3"/>
  <c r="B15" i="3"/>
  <c r="B26" i="3"/>
  <c r="C26" i="3" s="1"/>
  <c r="B21" i="3"/>
  <c r="C21" i="3" s="1"/>
  <c r="B19" i="3"/>
  <c r="C19" i="3" s="1"/>
  <c r="B14" i="3"/>
  <c r="C26" i="1"/>
  <c r="C27" i="1" s="1"/>
  <c r="C44" i="1"/>
  <c r="C16" i="3" l="1"/>
  <c r="E16" i="3"/>
  <c r="G16" i="3" s="1"/>
  <c r="C13" i="3"/>
  <c r="E13" i="3"/>
  <c r="G13" i="3" s="1"/>
  <c r="C17" i="3"/>
  <c r="E17" i="3"/>
  <c r="G17" i="3" s="1"/>
  <c r="C14" i="3"/>
  <c r="E14" i="3"/>
  <c r="G14" i="3" s="1"/>
  <c r="C15" i="3"/>
  <c r="E15" i="3"/>
  <c r="G15" i="3" s="1"/>
  <c r="E26" i="3"/>
  <c r="G26" i="3" s="1"/>
  <c r="E23" i="3"/>
  <c r="G23" i="3" s="1"/>
  <c r="E24" i="3"/>
  <c r="G24" i="3" s="1"/>
  <c r="E25" i="3"/>
  <c r="G25" i="3" s="1"/>
  <c r="E27" i="3"/>
  <c r="G27" i="3" s="1"/>
  <c r="E20" i="3"/>
  <c r="G20" i="3" s="1"/>
  <c r="E19" i="3"/>
  <c r="G19" i="3" s="1"/>
  <c r="E21" i="3"/>
  <c r="G21" i="3" s="1"/>
  <c r="E22" i="3"/>
  <c r="G22" i="3" s="1"/>
  <c r="E18" i="3"/>
  <c r="G18" i="3" s="1"/>
  <c r="C29" i="1"/>
  <c r="C35" i="1" s="1"/>
  <c r="C50" i="1" s="1"/>
  <c r="D8" i="3" s="1"/>
  <c r="D33" i="3" l="1"/>
  <c r="D29" i="3"/>
  <c r="D30" i="3"/>
  <c r="D28" i="3"/>
  <c r="D31" i="3"/>
  <c r="F13" i="3"/>
  <c r="E30" i="3"/>
  <c r="G30" i="3" s="1"/>
  <c r="F14" i="3"/>
  <c r="E29" i="3"/>
  <c r="G29" i="3" s="1"/>
  <c r="E31" i="3"/>
  <c r="G31" i="3" s="1"/>
  <c r="F17" i="3"/>
  <c r="E28" i="3"/>
  <c r="G28" i="3" s="1"/>
  <c r="C52" i="1"/>
  <c r="C55" i="1" s="1"/>
  <c r="D16" i="3" s="1"/>
  <c r="E5" i="2"/>
  <c r="B5" i="2"/>
  <c r="G13" i="2"/>
  <c r="E3" i="2"/>
  <c r="G3" i="2" s="1"/>
  <c r="C30" i="1"/>
  <c r="C51" i="1"/>
  <c r="C47" i="1"/>
  <c r="F33" i="3" l="1"/>
  <c r="F30" i="3"/>
  <c r="F29" i="3"/>
  <c r="F31" i="3"/>
  <c r="D15" i="3"/>
  <c r="D20" i="3"/>
  <c r="F20" i="3" s="1"/>
  <c r="D22" i="3"/>
  <c r="F22" i="3" s="1"/>
  <c r="D14" i="3"/>
  <c r="D21" i="3"/>
  <c r="F21" i="3" s="1"/>
  <c r="D26" i="3"/>
  <c r="F26" i="3" s="1"/>
  <c r="D23" i="3"/>
  <c r="F23" i="3" s="1"/>
  <c r="D27" i="3"/>
  <c r="F27" i="3" s="1"/>
  <c r="D19" i="3"/>
  <c r="F19" i="3" s="1"/>
  <c r="D25" i="3"/>
  <c r="F25" i="3" s="1"/>
  <c r="D13" i="3"/>
  <c r="D18" i="3"/>
  <c r="F18" i="3" s="1"/>
  <c r="D24" i="3"/>
  <c r="F24" i="3" s="1"/>
  <c r="D17" i="3"/>
  <c r="F15" i="3"/>
  <c r="F28" i="3"/>
  <c r="F16" i="3"/>
  <c r="G4" i="2"/>
  <c r="B55" i="1"/>
  <c r="G14" i="2"/>
  <c r="G15" i="2" s="1"/>
  <c r="G16" i="2"/>
  <c r="F4" i="2"/>
  <c r="A10" i="2"/>
  <c r="B7" i="2"/>
  <c r="G5" i="2"/>
  <c r="G6" i="2" s="1"/>
  <c r="C56" i="1"/>
  <c r="C57" i="1"/>
  <c r="G17" i="2" l="1"/>
  <c r="G7" i="2"/>
  <c r="G8" i="2" s="1"/>
</calcChain>
</file>

<file path=xl/comments1.xml><?xml version="1.0" encoding="utf-8"?>
<comments xmlns="http://schemas.openxmlformats.org/spreadsheetml/2006/main">
  <authors>
    <author>Michael Gerlach</author>
  </authors>
  <commentList>
    <comment ref="B9" authorId="0" shapeId="0">
      <text>
        <r>
          <rPr>
            <sz val="9"/>
            <color indexed="81"/>
            <rFont val="Segoe UI"/>
            <family val="2"/>
          </rPr>
          <t xml:space="preserve">Lageplan beifügen
</t>
        </r>
      </text>
    </comment>
    <comment ref="B11" authorId="0" shapeId="0">
      <text>
        <r>
          <rPr>
            <sz val="9"/>
            <color indexed="81"/>
            <rFont val="Segoe UI"/>
            <family val="2"/>
          </rPr>
          <t xml:space="preserve">Hinweis: i. d. R. analog Grundstücksgröße
Ausnahmefälle: vertraglich vereinbarte Erbbaurechtsfläche kann lt. Erbbaurechtsvertrag ggfs. kleiner sein als die tatsächliche Grundstücksgröße und zwar z. B. dann, wenn bei einem relativ  großen Grundstück die Erbbaurechtsfläche nicht ausparzelliert worden ist nebst Bildung eines eigenständigen Flurstücks. 
&gt; Seltene aber mögliche Fälle
</t>
        </r>
      </text>
    </comment>
    <comment ref="B13" authorId="0" shapeId="0">
      <text>
        <r>
          <rPr>
            <b/>
            <sz val="9"/>
            <color indexed="81"/>
            <rFont val="Segoe UI"/>
            <family val="2"/>
          </rPr>
          <t xml:space="preserve">&gt; bebaute / bebaubare Fläche / Flächenanteil mit grds. Baulandqualität </t>
        </r>
        <r>
          <rPr>
            <sz val="9"/>
            <color indexed="81"/>
            <rFont val="Segoe UI"/>
            <family val="2"/>
          </rPr>
          <t xml:space="preserve">
Kann die komplette Fläche sein (Standard-Baugrundstück). In dem Fall keine Differenzierung Vorderland / Hinterland notwendig (&gt; qm Vorderland = qm Erbbaurechtsfläche, qm Hinterland = 0 qm).
Ansonsten Bestimmung z. B. ausgehend von Richtwertmerkmalen oder planungsrechtlichen, baurechtlichen, beitragsrechtlichen oder sonstigen Aspekten. </t>
        </r>
        <r>
          <rPr>
            <b/>
            <sz val="9"/>
            <color indexed="81"/>
            <rFont val="Segoe UI"/>
            <family val="2"/>
          </rPr>
          <t xml:space="preserve">&gt;&gt;Eine behördliche Auskunft sollte in diesen Fällen eingeholt werden
</t>
        </r>
        <r>
          <rPr>
            <sz val="9"/>
            <color indexed="81"/>
            <rFont val="Segoe UI"/>
            <family val="2"/>
          </rPr>
          <t xml:space="preserve">
Zusätzlich zu den vorzunehmenden Bemerkungen / Erläuterungen sind die unterschiedlichen Flächenanteile (Vorder-Hinterland) auf einem</t>
        </r>
        <r>
          <rPr>
            <b/>
            <sz val="9"/>
            <color indexed="81"/>
            <rFont val="Segoe UI"/>
            <family val="2"/>
          </rPr>
          <t xml:space="preserve"> Lageplan</t>
        </r>
        <r>
          <rPr>
            <sz val="9"/>
            <color indexed="81"/>
            <rFont val="Segoe UI"/>
            <family val="2"/>
          </rPr>
          <t xml:space="preserve"> zu dokumentieren/kennzeichnen!! </t>
        </r>
      </text>
    </comment>
    <comment ref="B14" authorId="0" shapeId="0">
      <text>
        <r>
          <rPr>
            <sz val="9"/>
            <color indexed="81"/>
            <rFont val="Segoe UI"/>
            <family val="2"/>
          </rPr>
          <t>alles, was nicht unter Vorderland zu werten ist (Ansonsten Wert = o)</t>
        </r>
      </text>
    </comment>
    <comment ref="H17" authorId="0" shapeId="0">
      <text>
        <r>
          <rPr>
            <sz val="9"/>
            <color indexed="81"/>
            <rFont val="Segoe UI"/>
            <family val="2"/>
          </rPr>
          <t>entsprechende Anlagen sind beizufügen</t>
        </r>
      </text>
    </comment>
    <comment ref="B19" authorId="0" shapeId="0">
      <text>
        <r>
          <rPr>
            <b/>
            <sz val="9"/>
            <color indexed="81"/>
            <rFont val="Segoe UI"/>
            <family val="2"/>
          </rPr>
          <t>Grundsatz: pauschal 20%</t>
        </r>
        <r>
          <rPr>
            <sz val="9"/>
            <color indexed="81"/>
            <rFont val="Segoe UI"/>
            <family val="2"/>
          </rPr>
          <t xml:space="preserve">
Im übrigen sind niedrigere Ansätze grundsätzlich Verhandlungssache. Höhere Abschläge sind zu begründen.
Hat entgegen der üblichen Praxis der Grundstückseigentümer und nicht der Erbbauberechtigte lt. Erbbaurechtsvertrag (incl. Nachträge) die Erschließungskosten bzw. Beiträge zu zahlen, entfällt der Abschlag (=0). Gleiches würde für Fälle gelten, in denen der Erbbauberechtigte zwar zahlungspflichtig ist lt. Erbbaurechtsvertrag aber tatsächlich der Grundstückseigentümer die Zahlungen übernommen oder ggfs. erstattet hat.</t>
        </r>
      </text>
    </comment>
    <comment ref="B21" authorId="0" shapeId="0">
      <text>
        <r>
          <rPr>
            <sz val="9"/>
            <color indexed="81"/>
            <rFont val="Segoe UI"/>
            <family val="2"/>
          </rPr>
          <t>z. B. für Rechte Dritter (Wege-/Leitungsrechte etc.) oder besondere Beeinträchtigungen durch Emmissionen, ungünstiger Grundstückszuschnitt, Topographie etc.</t>
        </r>
      </text>
    </comment>
    <comment ref="B25" authorId="0" shapeId="0">
      <text>
        <r>
          <rPr>
            <sz val="9"/>
            <color indexed="81"/>
            <rFont val="Segoe UI"/>
            <family val="2"/>
          </rPr>
          <t xml:space="preserve">angemessener Wertansatz (%) vom Vorderlandwert gem. Qualitätsmerkmalen der Grundstücksteilfläche.
Orientierung ggfs. anhand der Bilanzierungskriterien (z. B. 75% Abschlag bei Grundstücksart Gartenland &gt; Wertansatz somit 25%). Im Übrigen Verhandlungssache. Besonderheiten (z. B. Berücksichtigung Topographie etc.) wären zusätzlich zu begründen (sofern nicht bereits unter "sonstige Abschläge" im Bereich Vorderlandbewertung erfasst).
</t>
        </r>
      </text>
    </comment>
    <comment ref="B32" authorId="0" shapeId="0">
      <text>
        <r>
          <rPr>
            <sz val="9"/>
            <color indexed="81"/>
            <rFont val="Segoe UI"/>
            <family val="2"/>
          </rPr>
          <t>ggfs. Beiblatt beifügen</t>
        </r>
      </text>
    </comment>
    <comment ref="B35" authorId="0" shapeId="0">
      <text>
        <r>
          <rPr>
            <sz val="9"/>
            <color indexed="81"/>
            <rFont val="Segoe UI"/>
            <family val="2"/>
          </rPr>
          <t>Grundlage für alternative Verkaufsverhandlungen</t>
        </r>
      </text>
    </comment>
    <comment ref="B46" authorId="0" shapeId="0">
      <text>
        <r>
          <rPr>
            <b/>
            <sz val="9"/>
            <color indexed="81"/>
            <rFont val="Segoe UI"/>
            <family val="2"/>
          </rPr>
          <t>vor</t>
        </r>
        <r>
          <rPr>
            <sz val="9"/>
            <color indexed="81"/>
            <rFont val="Segoe UI"/>
            <family val="2"/>
          </rPr>
          <t xml:space="preserve"> Eintragung ist zunächst eine turnusmäßige Anpassung des Erbbauzinses zu prüfen!!!
Untergrenze könnte für den Fall eintreten, dass Bodenrichtwerte gegenüber Erbbaurechtsbestellung oder der letzten Verlängerung bzw. außerordentlichen Neufestsetzung Erbbauzins gesunken ist</t>
        </r>
      </text>
    </comment>
    <comment ref="B57" authorId="0" shapeId="0">
      <text>
        <r>
          <rPr>
            <b/>
            <sz val="9"/>
            <color indexed="81"/>
            <rFont val="Segoe UI"/>
            <family val="2"/>
          </rPr>
          <t>Michael Gerlach:</t>
        </r>
        <r>
          <rPr>
            <sz val="9"/>
            <color indexed="81"/>
            <rFont val="Segoe UI"/>
            <family val="2"/>
          </rPr>
          <t xml:space="preserve">
Vorteil Erbbaurechtsnehmer gegenüber den Konditionen analog einer Neubestellung</t>
        </r>
      </text>
    </comment>
  </commentList>
</comments>
</file>

<file path=xl/sharedStrings.xml><?xml version="1.0" encoding="utf-8"?>
<sst xmlns="http://schemas.openxmlformats.org/spreadsheetml/2006/main" count="118" uniqueCount="107">
  <si>
    <t>Zeitablauf Erbbaurecht (Jahr)</t>
  </si>
  <si>
    <t>neuer Zeitablauf Erbbaurecht (Jahr)</t>
  </si>
  <si>
    <t>aktuelles Datum (Jahr)</t>
  </si>
  <si>
    <t>Verlängerungszeit (Jahre)</t>
  </si>
  <si>
    <t>Gemarkung</t>
  </si>
  <si>
    <t>Flur</t>
  </si>
  <si>
    <t>Flurstück(e)</t>
  </si>
  <si>
    <t>Adresse Erbbaurecht</t>
  </si>
  <si>
    <t>Soll-Erbbauzins p.a.</t>
  </si>
  <si>
    <t>(Erbbauzins Ist x Restnutzungsdauer + Erbbauzins Soll x Verlängerungszeit) / neue Gesamtlaufzeit)</t>
  </si>
  <si>
    <t>RND</t>
  </si>
  <si>
    <t xml:space="preserve">Ermittlung Erbbauzins bei beantragter vorzeitiger Verlängerung des Erbbaurechts </t>
  </si>
  <si>
    <t>wirtschaftlicher Vorteil aus Ist-EZ zu Soll-EZ für RND</t>
  </si>
  <si>
    <t>EZ IST x RND</t>
  </si>
  <si>
    <t>EZ Soll x VL</t>
  </si>
  <si>
    <t>Summe</t>
  </si>
  <si>
    <t>EZ Soll x RND</t>
  </si>
  <si>
    <t>Vorteil</t>
  </si>
  <si>
    <t>Vorteil RND</t>
  </si>
  <si>
    <t>zum Vergleich:</t>
  </si>
  <si>
    <t>EZ</t>
  </si>
  <si>
    <t>Erbbauzins</t>
  </si>
  <si>
    <t>Restnutzungsdauer</t>
  </si>
  <si>
    <t>VL</t>
  </si>
  <si>
    <t>Verlängerungszeit</t>
  </si>
  <si>
    <t>Legende:</t>
  </si>
  <si>
    <t>bereinigter wirtschaftlicher Vorteil aus neuem EZ zu Soll-EZ für RND</t>
  </si>
  <si>
    <t>zzgl. Vorteil aus neuer EZ zu Soll-EZ für VL</t>
  </si>
  <si>
    <t>abzgl. Nachteil aus Ist-EZ zu neuem EZ für RND</t>
  </si>
  <si>
    <t>neue Rendite Grundstückseigentümer</t>
  </si>
  <si>
    <t>Ersparnis ERN über die neue Gesamtlaufzeit</t>
  </si>
  <si>
    <t>/ neue GLZ</t>
  </si>
  <si>
    <t>x neue GLZ</t>
  </si>
  <si>
    <t>GLZ</t>
  </si>
  <si>
    <t>Gesamtlaufzeit</t>
  </si>
  <si>
    <t>ERN</t>
  </si>
  <si>
    <t>Erbbaurechtsnehmer</t>
  </si>
  <si>
    <t>Beginn Erbbaurecht (Jahr) bzw. letzte Verlängerung (Jahr)</t>
  </si>
  <si>
    <t>Grundstücksgröße (qm)</t>
  </si>
  <si>
    <t>A)</t>
  </si>
  <si>
    <t>B)</t>
  </si>
  <si>
    <t>C)</t>
  </si>
  <si>
    <t>D)</t>
  </si>
  <si>
    <t>E)</t>
  </si>
  <si>
    <t xml:space="preserve">Ergebnis aus Bodenwertermittlung Erbbaugrundstücksfläche (€) </t>
  </si>
  <si>
    <t>Kath. Kirchengemeinde</t>
  </si>
  <si>
    <t>Name Erbbaurechsnehmer</t>
  </si>
  <si>
    <t>BRW</t>
  </si>
  <si>
    <t>Bodenrichtwert</t>
  </si>
  <si>
    <r>
      <t xml:space="preserve">ggfs. sonstige Abschläge (%) </t>
    </r>
    <r>
      <rPr>
        <b/>
        <sz val="11"/>
        <color theme="1"/>
        <rFont val="Calibri"/>
        <family val="2"/>
        <scheme val="minor"/>
      </rPr>
      <t>*)</t>
    </r>
  </si>
  <si>
    <r>
      <t>Restnutzungsdauer (Jahre) //</t>
    </r>
    <r>
      <rPr>
        <sz val="10"/>
        <color theme="1"/>
        <rFont val="Calibri"/>
        <family val="2"/>
        <scheme val="minor"/>
      </rPr>
      <t xml:space="preserve"> </t>
    </r>
    <r>
      <rPr>
        <sz val="10"/>
        <color rgb="FFFF0000"/>
        <rFont val="Calibri"/>
        <family val="2"/>
        <scheme val="minor"/>
      </rPr>
      <t>max. 40 Jahre</t>
    </r>
    <r>
      <rPr>
        <sz val="11"/>
        <color rgb="FFFF0000"/>
        <rFont val="Calibri"/>
        <family val="2"/>
        <scheme val="minor"/>
      </rPr>
      <t xml:space="preserve"> </t>
    </r>
    <r>
      <rPr>
        <b/>
        <sz val="11"/>
        <rFont val="Calibri"/>
        <family val="2"/>
        <scheme val="minor"/>
      </rPr>
      <t>*)</t>
    </r>
  </si>
  <si>
    <r>
      <t xml:space="preserve">derzeitige Rendite </t>
    </r>
    <r>
      <rPr>
        <sz val="10"/>
        <color theme="1"/>
        <rFont val="Calibri"/>
        <family val="2"/>
        <scheme val="minor"/>
      </rPr>
      <t>(Ist-Erbbauzins/Grundstückswert)</t>
    </r>
  </si>
  <si>
    <r>
      <t>Ist-Erbbauzins p.a.</t>
    </r>
    <r>
      <rPr>
        <sz val="10"/>
        <color theme="1"/>
        <rFont val="Calibri"/>
        <family val="2"/>
        <scheme val="minor"/>
      </rPr>
      <t xml:space="preserve"> (= Untergrenze für neuen Mindest-Erbbauzins)</t>
    </r>
  </si>
  <si>
    <r>
      <rPr>
        <b/>
        <sz val="11"/>
        <color theme="1"/>
        <rFont val="Calibri"/>
        <family val="2"/>
        <scheme val="minor"/>
      </rPr>
      <t>gewichteter</t>
    </r>
    <r>
      <rPr>
        <sz val="11"/>
        <color theme="1"/>
        <rFont val="Calibri"/>
        <family val="2"/>
        <scheme val="minor"/>
      </rPr>
      <t xml:space="preserve"> arithmetischer Mittelwert p.a. </t>
    </r>
  </si>
  <si>
    <t xml:space="preserve">einfacher Mittelwert (Ist-Soll) p.a. </t>
  </si>
  <si>
    <t>vereinbarte Gesamtlaufzeit (Jahre)</t>
  </si>
  <si>
    <r>
      <rPr>
        <b/>
        <u/>
        <sz val="11"/>
        <color theme="1"/>
        <rFont val="Calibri"/>
        <family val="2"/>
        <scheme val="minor"/>
      </rPr>
      <t>*)</t>
    </r>
    <r>
      <rPr>
        <u/>
        <sz val="11"/>
        <color theme="1"/>
        <rFont val="Calibri"/>
        <family val="2"/>
        <scheme val="minor"/>
      </rPr>
      <t xml:space="preserve">  B e m e r k u n g e n  /  E r l ä u t e r u n g e n :</t>
    </r>
  </si>
  <si>
    <r>
      <t xml:space="preserve">Abschlag Erschließungs- und Anliegerbeiträge (i. d. R. 20% v. BW) </t>
    </r>
    <r>
      <rPr>
        <b/>
        <sz val="11"/>
        <color theme="1"/>
        <rFont val="Calibri"/>
        <family val="2"/>
        <scheme val="minor"/>
      </rPr>
      <t>*)</t>
    </r>
  </si>
  <si>
    <r>
      <t xml:space="preserve">neue Gesamtlaufzeit (Jahre) // </t>
    </r>
    <r>
      <rPr>
        <sz val="11"/>
        <color rgb="FFFF0000"/>
        <rFont val="Calibri"/>
        <family val="2"/>
        <scheme val="minor"/>
      </rPr>
      <t>mind. 50 Jahre;</t>
    </r>
    <r>
      <rPr>
        <sz val="11"/>
        <color theme="1"/>
        <rFont val="Calibri"/>
        <family val="2"/>
        <scheme val="minor"/>
      </rPr>
      <t xml:space="preserve"> </t>
    </r>
    <r>
      <rPr>
        <sz val="10"/>
        <color rgb="FFFF0000"/>
        <rFont val="Calibri"/>
        <family val="2"/>
        <scheme val="minor"/>
      </rPr>
      <t>max. 99 Jahre</t>
    </r>
    <r>
      <rPr>
        <sz val="11"/>
        <color rgb="FFFF0000"/>
        <rFont val="Calibri"/>
        <family val="2"/>
        <scheme val="minor"/>
      </rPr>
      <t xml:space="preserve"> </t>
    </r>
    <r>
      <rPr>
        <b/>
        <sz val="11"/>
        <rFont val="Calibri"/>
        <family val="2"/>
        <scheme val="minor"/>
      </rPr>
      <t>*)</t>
    </r>
  </si>
  <si>
    <t>Brutto-Bodenwert Vorderland (€)</t>
  </si>
  <si>
    <t>Netto-Bodenwert Vorderland (€)</t>
  </si>
  <si>
    <t>bereinigter Netto-Bodenwert Vorderland (€)</t>
  </si>
  <si>
    <t>entspricht (€/qm)</t>
  </si>
  <si>
    <t>Abschlag in % zum Soll-Erbbauzinssatz (Vorteil Erbbaurechtsnehmer)</t>
  </si>
  <si>
    <t>Zinssatz Erbbaurecht (Soll)</t>
  </si>
  <si>
    <t>zzgl.</t>
  </si>
  <si>
    <t>(Darstellung der Ausgewogenheit)</t>
  </si>
  <si>
    <t>Nachrichtlich:</t>
  </si>
  <si>
    <r>
      <t xml:space="preserve">Bewertungsansatz Hinterland (%) </t>
    </r>
    <r>
      <rPr>
        <b/>
        <sz val="11"/>
        <color theme="1"/>
        <rFont val="Calibri"/>
        <family val="2"/>
        <scheme val="minor"/>
      </rPr>
      <t>*)</t>
    </r>
  </si>
  <si>
    <t>Bodenwert Hinterland (€)</t>
  </si>
  <si>
    <t>Summe Bodenwert</t>
  </si>
  <si>
    <t>Seite 2</t>
  </si>
  <si>
    <t>Seite 1</t>
  </si>
  <si>
    <t>davon mit Erbbaurecht belastete Fläche(n) - Erbbaurechtsfläche - (qm)</t>
  </si>
  <si>
    <r>
      <rPr>
        <b/>
        <sz val="11"/>
        <color rgb="FFFF0000"/>
        <rFont val="Calibri"/>
        <family val="2"/>
        <scheme val="minor"/>
      </rPr>
      <t xml:space="preserve">(ALTERNATIV) </t>
    </r>
    <r>
      <rPr>
        <sz val="11"/>
        <rFont val="Calibri"/>
        <family val="2"/>
        <scheme val="minor"/>
      </rPr>
      <t xml:space="preserve">manueller Bodenwert (€)  </t>
    </r>
    <r>
      <rPr>
        <b/>
        <sz val="11"/>
        <rFont val="Calibri"/>
        <family val="2"/>
        <scheme val="minor"/>
      </rPr>
      <t>&gt;</t>
    </r>
    <r>
      <rPr>
        <b/>
        <sz val="8"/>
        <rFont val="Calibri"/>
        <family val="2"/>
        <scheme val="minor"/>
      </rPr>
      <t xml:space="preserve"> nur bei Bedarf ausfüllen </t>
    </r>
    <r>
      <rPr>
        <b/>
        <sz val="11"/>
        <rFont val="Calibri"/>
        <family val="2"/>
        <scheme val="minor"/>
      </rPr>
      <t>*)</t>
    </r>
  </si>
  <si>
    <r>
      <t xml:space="preserve">Vorderland (qm) </t>
    </r>
    <r>
      <rPr>
        <b/>
        <sz val="11"/>
        <rFont val="Calibri"/>
        <family val="2"/>
        <scheme val="minor"/>
      </rPr>
      <t>*)</t>
    </r>
  </si>
  <si>
    <r>
      <t>Hinterland (qm)</t>
    </r>
    <r>
      <rPr>
        <b/>
        <sz val="11"/>
        <rFont val="Calibri"/>
        <family val="2"/>
        <scheme val="minor"/>
      </rPr>
      <t xml:space="preserve"> &gt; </t>
    </r>
    <r>
      <rPr>
        <b/>
        <sz val="8"/>
        <rFont val="Calibri"/>
        <family val="2"/>
        <scheme val="minor"/>
      </rPr>
      <t>nur bei Bedarf ausfüllen (ansonsten "0")</t>
    </r>
  </si>
  <si>
    <t>Summe (qm)</t>
  </si>
  <si>
    <t>geminderter Erbbauzins (befristet auf 10 Jahre)</t>
  </si>
  <si>
    <t>(Untergrenze gleich Ist-Erbbauzins)</t>
  </si>
  <si>
    <t xml:space="preserve">Rabattfaktor </t>
  </si>
  <si>
    <t>ggsfs. abweichender Grundstückseigentümer</t>
  </si>
  <si>
    <t>00.00.0000</t>
  </si>
  <si>
    <t>KV-Beschluss v.</t>
  </si>
  <si>
    <t>gem. Rundschreiben vom 12.10.2021, GZ: 6.103/2322.10/1/1.2021; Rabatt vorbehaltlich Beschlussfassung Kirchenvorstand</t>
  </si>
  <si>
    <r>
      <rPr>
        <b/>
        <u/>
        <sz val="11"/>
        <color theme="1"/>
        <rFont val="Calibri"/>
        <family val="2"/>
        <scheme val="minor"/>
      </rPr>
      <t>S o n d e r k o n d i t i o n e n</t>
    </r>
    <r>
      <rPr>
        <u/>
        <sz val="11"/>
        <color theme="1"/>
        <rFont val="Calibri"/>
        <family val="2"/>
        <scheme val="minor"/>
      </rPr>
      <t xml:space="preserve">  </t>
    </r>
    <r>
      <rPr>
        <u/>
        <sz val="10"/>
        <color theme="1"/>
        <rFont val="Calibri"/>
        <family val="2"/>
        <scheme val="minor"/>
      </rPr>
      <t>bei Verlängerungszeitraum mind. 30 Jahre</t>
    </r>
  </si>
  <si>
    <t xml:space="preserve">Es handelt sich beim eingeräumten Rabatt um eine rein schuldrechtliche und zeitlich befristete Regelung </t>
  </si>
  <si>
    <t xml:space="preserve">ÜBERSICHT </t>
  </si>
  <si>
    <r>
      <rPr>
        <b/>
        <u/>
        <sz val="9"/>
        <color theme="1"/>
        <rFont val="Calibri"/>
        <family val="2"/>
        <scheme val="minor"/>
      </rPr>
      <t>NUR NACHRICHTLICH</t>
    </r>
    <r>
      <rPr>
        <sz val="9"/>
        <color theme="1"/>
        <rFont val="Calibri"/>
        <family val="2"/>
        <scheme val="minor"/>
      </rPr>
      <t>, als Orientierungsmöglichkeit</t>
    </r>
  </si>
  <si>
    <t>GRUNDLAGE</t>
  </si>
  <si>
    <t>Verl. MAX:</t>
  </si>
  <si>
    <t>Erbbauzins IST</t>
  </si>
  <si>
    <t>Erbbauzins SOLL</t>
  </si>
  <si>
    <t>Verlängerung</t>
  </si>
  <si>
    <t>neue GLZ</t>
  </si>
  <si>
    <t>Erbbauszins</t>
  </si>
  <si>
    <t>Rabatt</t>
  </si>
  <si>
    <t>MINIMUM</t>
  </si>
  <si>
    <t>%</t>
  </si>
  <si>
    <t>EUR</t>
  </si>
  <si>
    <t>rabattiert</t>
  </si>
  <si>
    <t>der Verlängerungsmöglichkeiten, gem. Modellrichtlinie ( Seite 1 Hauptblatt )</t>
  </si>
  <si>
    <t>Rabattfaktor</t>
  </si>
  <si>
    <t>TOP</t>
  </si>
  <si>
    <t>Siehe auch Anlagen I und II</t>
  </si>
  <si>
    <t>© 6.103, Bereich Finanzen EGV PB</t>
  </si>
  <si>
    <r>
      <t xml:space="preserve">amtlicher Bodenrichtwert (€/qm) - </t>
    </r>
    <r>
      <rPr>
        <sz val="11"/>
        <color rgb="FFFF0000"/>
        <rFont val="Calibri"/>
        <family val="2"/>
        <scheme val="minor"/>
      </rPr>
      <t>vorbehaltlich Neuveröffentlichung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</si>
</sst>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 [$€-407]_-;\-* #,##0.00\ [$€-407]_-;_-* &quot;-&quot;??\ [$€-407]_-;_-@_-"/>
    <numFmt numFmtId="165" formatCode="0.0%"/>
    <numFmt numFmtId="166" formatCode="General\ &quot;Jahre&quot;"/>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4"/>
      <color theme="1"/>
      <name val="Calibri"/>
      <family val="2"/>
      <scheme val="minor"/>
    </font>
    <font>
      <u/>
      <sz val="11"/>
      <color theme="1"/>
      <name val="Calibri"/>
      <family val="2"/>
      <scheme val="minor"/>
    </font>
    <font>
      <b/>
      <sz val="12"/>
      <color theme="1"/>
      <name val="Calibri"/>
      <family val="2"/>
      <scheme val="minor"/>
    </font>
    <font>
      <sz val="11"/>
      <color rgb="FF00B050"/>
      <name val="Calibri"/>
      <family val="2"/>
      <scheme val="minor"/>
    </font>
    <font>
      <sz val="11"/>
      <color rgb="FFFF0000"/>
      <name val="Calibri"/>
      <family val="2"/>
      <scheme val="minor"/>
    </font>
    <font>
      <b/>
      <sz val="11"/>
      <name val="Calibri"/>
      <family val="2"/>
      <scheme val="minor"/>
    </font>
    <font>
      <sz val="10"/>
      <color rgb="FFFF0000"/>
      <name val="Calibri"/>
      <family val="2"/>
      <scheme val="minor"/>
    </font>
    <font>
      <b/>
      <sz val="8"/>
      <color theme="1"/>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u/>
      <sz val="8"/>
      <color theme="1"/>
      <name val="Calibri"/>
      <family val="2"/>
      <scheme val="minor"/>
    </font>
    <font>
      <sz val="8"/>
      <color theme="1"/>
      <name val="Calibri"/>
      <family val="2"/>
      <scheme val="minor"/>
    </font>
    <font>
      <b/>
      <sz val="8"/>
      <name val="Calibri"/>
      <family val="2"/>
      <scheme val="minor"/>
    </font>
    <font>
      <b/>
      <sz val="10"/>
      <color rgb="FFFF0000"/>
      <name val="Calibri"/>
      <family val="2"/>
      <scheme val="minor"/>
    </font>
    <font>
      <i/>
      <sz val="9"/>
      <color theme="1"/>
      <name val="Calibri"/>
      <family val="2"/>
      <scheme val="minor"/>
    </font>
    <font>
      <u/>
      <sz val="10"/>
      <color theme="1"/>
      <name val="Calibri"/>
      <family val="2"/>
      <scheme val="minor"/>
    </font>
    <font>
      <sz val="9"/>
      <color theme="1"/>
      <name val="Calibri"/>
      <family val="2"/>
      <scheme val="minor"/>
    </font>
    <font>
      <b/>
      <u/>
      <sz val="9"/>
      <color theme="1"/>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8F8F8"/>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0" fillId="0" borderId="0" xfId="0" applyBorder="1"/>
    <xf numFmtId="0" fontId="5" fillId="0" borderId="0" xfId="0" applyFont="1" applyBorder="1"/>
    <xf numFmtId="0" fontId="6" fillId="0" borderId="0" xfId="0" applyFont="1" applyFill="1" applyAlignment="1">
      <alignment vertical="center"/>
    </xf>
    <xf numFmtId="0" fontId="6" fillId="2" borderId="0" xfId="0" applyFont="1" applyFill="1" applyAlignment="1">
      <alignment vertical="center"/>
    </xf>
    <xf numFmtId="0" fontId="0" fillId="3" borderId="5" xfId="0" applyFill="1" applyBorder="1"/>
    <xf numFmtId="44" fontId="0" fillId="3" borderId="5" xfId="1" applyFont="1" applyFill="1" applyBorder="1"/>
    <xf numFmtId="0" fontId="0" fillId="0" borderId="0" xfId="0" applyFont="1" applyBorder="1"/>
    <xf numFmtId="0" fontId="2" fillId="0" borderId="0" xfId="0" applyFont="1" applyAlignment="1">
      <alignment horizontal="right"/>
    </xf>
    <xf numFmtId="0" fontId="13" fillId="0" borderId="0" xfId="0" applyFont="1" applyAlignment="1">
      <alignment horizontal="right"/>
    </xf>
    <xf numFmtId="9" fontId="0" fillId="3" borderId="5" xfId="2" applyFont="1" applyFill="1" applyBorder="1"/>
    <xf numFmtId="0" fontId="0" fillId="3" borderId="2" xfId="0" applyFill="1" applyBorder="1"/>
    <xf numFmtId="0" fontId="0" fillId="3" borderId="4" xfId="0" applyFill="1" applyBorder="1"/>
    <xf numFmtId="0" fontId="0" fillId="3" borderId="2" xfId="0" applyFont="1" applyFill="1" applyBorder="1"/>
    <xf numFmtId="0" fontId="0" fillId="3" borderId="6" xfId="0" applyFill="1" applyBorder="1"/>
    <xf numFmtId="44" fontId="0" fillId="3" borderId="5" xfId="0" applyNumberFormat="1" applyFill="1" applyBorder="1" applyProtection="1">
      <protection hidden="1"/>
    </xf>
    <xf numFmtId="44" fontId="1" fillId="3" borderId="5" xfId="1" applyFont="1" applyFill="1" applyBorder="1"/>
    <xf numFmtId="0" fontId="0" fillId="3" borderId="9" xfId="0" applyFont="1" applyFill="1" applyBorder="1"/>
    <xf numFmtId="44" fontId="1" fillId="3" borderId="10" xfId="1" applyFont="1" applyFill="1" applyBorder="1"/>
    <xf numFmtId="0" fontId="0" fillId="3" borderId="4" xfId="0" applyFont="1" applyFill="1" applyBorder="1"/>
    <xf numFmtId="0" fontId="5" fillId="3" borderId="6" xfId="0" applyFont="1" applyFill="1" applyBorder="1" applyAlignment="1">
      <alignment vertical="center"/>
    </xf>
    <xf numFmtId="10" fontId="0" fillId="3" borderId="5" xfId="2" applyNumberFormat="1" applyFont="1" applyFill="1" applyBorder="1"/>
    <xf numFmtId="44" fontId="0" fillId="3" borderId="5" xfId="0" applyNumberFormat="1" applyFill="1" applyBorder="1"/>
    <xf numFmtId="44" fontId="0" fillId="3" borderId="5" xfId="0" applyNumberFormat="1" applyFont="1" applyFill="1" applyBorder="1"/>
    <xf numFmtId="0" fontId="0" fillId="3" borderId="7" xfId="0" applyFill="1" applyBorder="1"/>
    <xf numFmtId="0" fontId="2" fillId="2" borderId="9" xfId="0" applyFont="1" applyFill="1" applyBorder="1"/>
    <xf numFmtId="44" fontId="2" fillId="2" borderId="10" xfId="1" applyFont="1" applyFill="1" applyBorder="1"/>
    <xf numFmtId="0" fontId="0" fillId="4" borderId="3" xfId="0" applyFill="1" applyBorder="1" applyProtection="1">
      <protection locked="0"/>
    </xf>
    <xf numFmtId="0" fontId="0" fillId="4" borderId="5" xfId="0" applyFill="1" applyBorder="1" applyProtection="1">
      <protection locked="0"/>
    </xf>
    <xf numFmtId="0" fontId="0" fillId="4" borderId="5" xfId="0" applyFill="1" applyBorder="1" applyAlignment="1" applyProtection="1">
      <alignment horizontal="left"/>
      <protection locked="0"/>
    </xf>
    <xf numFmtId="0" fontId="0" fillId="4" borderId="5" xfId="0" applyFill="1" applyBorder="1" applyAlignment="1" applyProtection="1">
      <alignment horizontal="right"/>
      <protection locked="0"/>
    </xf>
    <xf numFmtId="0" fontId="0" fillId="3" borderId="2" xfId="0" applyFill="1" applyBorder="1" applyProtection="1"/>
    <xf numFmtId="0" fontId="0" fillId="3" borderId="4" xfId="0" applyFill="1" applyBorder="1" applyProtection="1"/>
    <xf numFmtId="0" fontId="0" fillId="3" borderId="6" xfId="0" applyFont="1" applyFill="1" applyBorder="1" applyProtection="1"/>
    <xf numFmtId="44" fontId="1" fillId="4" borderId="3" xfId="1" applyFont="1" applyFill="1" applyBorder="1" applyProtection="1">
      <protection locked="0"/>
    </xf>
    <xf numFmtId="9" fontId="0" fillId="4" borderId="5" xfId="2" applyFont="1" applyFill="1" applyBorder="1" applyProtection="1">
      <protection locked="0"/>
    </xf>
    <xf numFmtId="0" fontId="0" fillId="4" borderId="5" xfId="0" applyFont="1" applyFill="1" applyBorder="1" applyProtection="1">
      <protection locked="0"/>
    </xf>
    <xf numFmtId="44" fontId="0" fillId="4" borderId="5" xfId="1" applyFont="1" applyFill="1" applyBorder="1" applyProtection="1">
      <protection locked="0"/>
    </xf>
    <xf numFmtId="0" fontId="0" fillId="4" borderId="0" xfId="0" applyFill="1" applyBorder="1" applyProtection="1">
      <protection locked="0"/>
    </xf>
    <xf numFmtId="0" fontId="5" fillId="4" borderId="0" xfId="0" applyFont="1" applyFill="1" applyBorder="1" applyProtection="1">
      <protection locked="0"/>
    </xf>
    <xf numFmtId="0" fontId="5" fillId="4" borderId="0" xfId="0" applyFont="1" applyFill="1" applyBorder="1" applyAlignment="1" applyProtection="1">
      <alignment horizontal="right"/>
      <protection locked="0"/>
    </xf>
    <xf numFmtId="164" fontId="1" fillId="3" borderId="5" xfId="1" applyNumberFormat="1" applyFont="1" applyFill="1" applyBorder="1"/>
    <xf numFmtId="0" fontId="15" fillId="3" borderId="2" xfId="0" applyFont="1" applyFill="1" applyBorder="1"/>
    <xf numFmtId="0" fontId="15" fillId="3" borderId="6" xfId="0" applyFont="1" applyFill="1" applyBorder="1"/>
    <xf numFmtId="0" fontId="1" fillId="3" borderId="5" xfId="1" applyNumberFormat="1" applyFont="1" applyFill="1" applyBorder="1"/>
    <xf numFmtId="44" fontId="1" fillId="3" borderId="5" xfId="1" applyNumberFormat="1" applyFont="1" applyFill="1" applyBorder="1"/>
    <xf numFmtId="0" fontId="10" fillId="3" borderId="4" xfId="0" applyFont="1" applyFill="1" applyBorder="1"/>
    <xf numFmtId="44" fontId="0" fillId="4" borderId="5" xfId="0" applyNumberFormat="1" applyFont="1" applyFill="1" applyBorder="1" applyProtection="1">
      <protection locked="0"/>
    </xf>
    <xf numFmtId="0" fontId="15" fillId="4" borderId="3" xfId="0" applyFont="1" applyFill="1" applyBorder="1" applyProtection="1">
      <protection locked="0"/>
    </xf>
    <xf numFmtId="0" fontId="15" fillId="4" borderId="7" xfId="0" applyFont="1" applyFill="1" applyBorder="1" applyProtection="1">
      <protection locked="0"/>
    </xf>
    <xf numFmtId="0" fontId="0" fillId="3" borderId="7" xfId="0" applyNumberFormat="1" applyFont="1" applyFill="1" applyBorder="1"/>
    <xf numFmtId="0" fontId="2" fillId="0" borderId="0" xfId="0" applyFont="1" applyBorder="1" applyAlignment="1">
      <alignment horizontal="right"/>
    </xf>
    <xf numFmtId="10" fontId="0" fillId="3" borderId="7" xfId="0" applyNumberFormat="1" applyFill="1" applyBorder="1"/>
    <xf numFmtId="0" fontId="13" fillId="0" borderId="0" xfId="0" applyFont="1" applyFill="1" applyBorder="1"/>
    <xf numFmtId="0" fontId="13" fillId="0" borderId="0" xfId="0" applyFont="1"/>
    <xf numFmtId="0" fontId="0" fillId="4" borderId="7" xfId="0" applyFont="1" applyFill="1" applyBorder="1" applyAlignment="1" applyProtection="1">
      <alignment horizontal="right"/>
      <protection locked="0"/>
    </xf>
    <xf numFmtId="0" fontId="0" fillId="4" borderId="4" xfId="0" applyFill="1" applyBorder="1" applyProtection="1">
      <protection locked="0"/>
    </xf>
    <xf numFmtId="0" fontId="5" fillId="4" borderId="5" xfId="0" applyFont="1" applyFill="1" applyBorder="1" applyProtection="1">
      <protection locked="0"/>
    </xf>
    <xf numFmtId="0" fontId="7" fillId="4" borderId="4" xfId="0" applyFont="1" applyFill="1" applyBorder="1" applyProtection="1">
      <protection locked="0"/>
    </xf>
    <xf numFmtId="0" fontId="0" fillId="4" borderId="6" xfId="0" applyFill="1" applyBorder="1" applyProtection="1">
      <protection locked="0"/>
    </xf>
    <xf numFmtId="0" fontId="0" fillId="4" borderId="1" xfId="0" applyFill="1" applyBorder="1" applyProtection="1">
      <protection locked="0"/>
    </xf>
    <xf numFmtId="0" fontId="0" fillId="4" borderId="7" xfId="0" applyFill="1" applyBorder="1" applyProtection="1">
      <protection locked="0"/>
    </xf>
    <xf numFmtId="0" fontId="8" fillId="2" borderId="0" xfId="0" applyFont="1" applyFill="1" applyProtection="1"/>
    <xf numFmtId="0" fontId="2" fillId="2" borderId="0" xfId="0" applyFont="1" applyFill="1" applyProtection="1"/>
    <xf numFmtId="0" fontId="0" fillId="2" borderId="0" xfId="0" applyFill="1" applyProtection="1"/>
    <xf numFmtId="0" fontId="0" fillId="0" borderId="0" xfId="0" applyProtection="1"/>
    <xf numFmtId="44" fontId="0" fillId="6" borderId="8" xfId="0" applyNumberFormat="1" applyFill="1" applyBorder="1" applyProtection="1"/>
    <xf numFmtId="44" fontId="0" fillId="3" borderId="8" xfId="0" applyNumberFormat="1" applyFill="1" applyBorder="1" applyProtection="1"/>
    <xf numFmtId="0" fontId="0" fillId="3" borderId="8" xfId="0" applyFill="1" applyBorder="1" applyProtection="1"/>
    <xf numFmtId="44" fontId="0" fillId="6" borderId="3" xfId="0" applyNumberFormat="1" applyFill="1" applyBorder="1" applyProtection="1"/>
    <xf numFmtId="0" fontId="0" fillId="3" borderId="0" xfId="0" applyFill="1" applyBorder="1" applyProtection="1"/>
    <xf numFmtId="44" fontId="0" fillId="5" borderId="5" xfId="0" applyNumberFormat="1" applyFill="1" applyBorder="1" applyProtection="1"/>
    <xf numFmtId="44" fontId="0" fillId="6" borderId="0" xfId="0" applyNumberFormat="1" applyFill="1" applyBorder="1" applyProtection="1"/>
    <xf numFmtId="44" fontId="0" fillId="3" borderId="0" xfId="0" applyNumberFormat="1" applyFill="1" applyBorder="1" applyProtection="1"/>
    <xf numFmtId="44" fontId="0" fillId="6" borderId="5" xfId="0" applyNumberFormat="1" applyFill="1" applyBorder="1" applyProtection="1"/>
    <xf numFmtId="44" fontId="2" fillId="6" borderId="0" xfId="0" applyNumberFormat="1" applyFont="1" applyFill="1" applyBorder="1" applyProtection="1"/>
    <xf numFmtId="44" fontId="2" fillId="6" borderId="5" xfId="0" applyNumberFormat="1" applyFont="1" applyFill="1" applyBorder="1" applyProtection="1"/>
    <xf numFmtId="0" fontId="0" fillId="3" borderId="5" xfId="0" applyFill="1" applyBorder="1" applyProtection="1"/>
    <xf numFmtId="44" fontId="0" fillId="3" borderId="5" xfId="0" applyNumberFormat="1" applyFill="1" applyBorder="1" applyProtection="1"/>
    <xf numFmtId="0" fontId="7" fillId="3" borderId="4" xfId="0" applyFont="1" applyFill="1" applyBorder="1" applyProtection="1"/>
    <xf numFmtId="44" fontId="2" fillId="3" borderId="5" xfId="1" applyFont="1" applyFill="1" applyBorder="1" applyProtection="1"/>
    <xf numFmtId="44" fontId="0" fillId="3" borderId="5" xfId="1" applyFont="1" applyFill="1" applyBorder="1" applyProtection="1"/>
    <xf numFmtId="44" fontId="2" fillId="3" borderId="5" xfId="0" applyNumberFormat="1" applyFont="1" applyFill="1" applyBorder="1" applyProtection="1"/>
    <xf numFmtId="0" fontId="17" fillId="3" borderId="4" xfId="0" applyFont="1" applyFill="1" applyBorder="1" applyProtection="1"/>
    <xf numFmtId="0" fontId="18" fillId="3" borderId="0" xfId="0" applyFont="1" applyFill="1" applyBorder="1" applyProtection="1"/>
    <xf numFmtId="0" fontId="18" fillId="3" borderId="4" xfId="0" applyFont="1" applyFill="1" applyBorder="1" applyProtection="1"/>
    <xf numFmtId="0" fontId="5" fillId="3" borderId="6" xfId="0" applyFont="1" applyFill="1" applyBorder="1" applyProtection="1"/>
    <xf numFmtId="0" fontId="5" fillId="3" borderId="1" xfId="0" applyFont="1" applyFill="1" applyBorder="1" applyProtection="1"/>
    <xf numFmtId="0" fontId="0" fillId="3" borderId="1" xfId="0" applyFill="1" applyBorder="1" applyProtection="1"/>
    <xf numFmtId="0" fontId="0" fillId="3" borderId="7" xfId="0" applyFill="1" applyBorder="1" applyProtection="1"/>
    <xf numFmtId="0" fontId="15" fillId="3" borderId="1" xfId="0" applyFont="1" applyFill="1" applyBorder="1"/>
    <xf numFmtId="9" fontId="0" fillId="7" borderId="5" xfId="2" applyFont="1" applyFill="1" applyBorder="1" applyProtection="1">
      <protection locked="0"/>
    </xf>
    <xf numFmtId="0" fontId="7" fillId="2" borderId="2" xfId="0" applyFont="1" applyFill="1" applyBorder="1"/>
    <xf numFmtId="0" fontId="0" fillId="2" borderId="8" xfId="0" applyFill="1" applyBorder="1"/>
    <xf numFmtId="0" fontId="7" fillId="2" borderId="4" xfId="0" applyFont="1" applyFill="1" applyBorder="1"/>
    <xf numFmtId="0" fontId="0" fillId="2" borderId="0" xfId="0" applyFill="1" applyBorder="1"/>
    <xf numFmtId="0" fontId="0" fillId="0" borderId="12" xfId="0" applyBorder="1"/>
    <xf numFmtId="0" fontId="0" fillId="4" borderId="0" xfId="0" applyFill="1" applyBorder="1"/>
    <xf numFmtId="0" fontId="0" fillId="4" borderId="5" xfId="0" applyFill="1" applyBorder="1"/>
    <xf numFmtId="0" fontId="0" fillId="4" borderId="0" xfId="0" applyFill="1"/>
    <xf numFmtId="0" fontId="0" fillId="4" borderId="0" xfId="0" applyFill="1" applyBorder="1" applyProtection="1"/>
    <xf numFmtId="0" fontId="23" fillId="4" borderId="4" xfId="0" applyFont="1" applyFill="1" applyBorder="1" applyProtection="1"/>
    <xf numFmtId="0" fontId="0" fillId="4" borderId="4" xfId="0" applyFill="1" applyBorder="1" applyProtection="1"/>
    <xf numFmtId="0" fontId="0" fillId="4" borderId="5" xfId="0" applyFill="1" applyBorder="1" applyProtection="1"/>
    <xf numFmtId="14" fontId="0" fillId="4" borderId="5" xfId="0" applyNumberFormat="1" applyFill="1" applyBorder="1" applyProtection="1"/>
    <xf numFmtId="0" fontId="0" fillId="4" borderId="0" xfId="0" applyFill="1" applyProtection="1"/>
    <xf numFmtId="0" fontId="0" fillId="4" borderId="8" xfId="0" applyFill="1" applyBorder="1"/>
    <xf numFmtId="0" fontId="0" fillId="4" borderId="3" xfId="0" applyFill="1" applyBorder="1"/>
    <xf numFmtId="14" fontId="0" fillId="4" borderId="8" xfId="0" applyNumberFormat="1" applyFill="1" applyBorder="1" applyProtection="1">
      <protection locked="0"/>
    </xf>
    <xf numFmtId="165" fontId="0" fillId="4" borderId="5" xfId="0" applyNumberFormat="1" applyFill="1" applyBorder="1" applyProtection="1">
      <protection locked="0"/>
    </xf>
    <xf numFmtId="44" fontId="0" fillId="2" borderId="5" xfId="1" applyFont="1" applyFill="1" applyBorder="1" applyProtection="1"/>
    <xf numFmtId="0" fontId="21" fillId="4" borderId="6" xfId="0" applyFont="1" applyFill="1" applyBorder="1" applyAlignment="1" applyProtection="1">
      <alignment horizontal="left"/>
    </xf>
    <xf numFmtId="0" fontId="21" fillId="4" borderId="6" xfId="0" applyFont="1" applyFill="1" applyBorder="1" applyAlignment="1" applyProtection="1">
      <alignment horizontal="center"/>
    </xf>
    <xf numFmtId="0" fontId="21" fillId="4" borderId="1" xfId="0" applyFont="1" applyFill="1" applyBorder="1" applyAlignment="1" applyProtection="1">
      <alignment horizontal="center"/>
    </xf>
    <xf numFmtId="0" fontId="0" fillId="4" borderId="7" xfId="0" applyFill="1" applyBorder="1" applyProtection="1"/>
    <xf numFmtId="0" fontId="0" fillId="3" borderId="3" xfId="0" applyFill="1" applyBorder="1" applyProtection="1"/>
    <xf numFmtId="0" fontId="0" fillId="4" borderId="8" xfId="0" applyFill="1" applyBorder="1" applyProtection="1">
      <protection locked="0"/>
    </xf>
    <xf numFmtId="0" fontId="0" fillId="3" borderId="8" xfId="0" applyFill="1" applyBorder="1" applyAlignment="1" applyProtection="1">
      <alignment horizontal="center"/>
    </xf>
    <xf numFmtId="0" fontId="10" fillId="4" borderId="0" xfId="0" applyFont="1" applyFill="1" applyBorder="1" applyProtection="1">
      <protection locked="0"/>
    </xf>
    <xf numFmtId="0" fontId="10" fillId="4" borderId="0" xfId="0" applyFont="1" applyFill="1" applyBorder="1" applyProtection="1"/>
    <xf numFmtId="49" fontId="0" fillId="4" borderId="5" xfId="0" applyNumberFormat="1" applyFill="1" applyBorder="1" applyAlignment="1" applyProtection="1">
      <alignment horizontal="right"/>
      <protection locked="0"/>
    </xf>
    <xf numFmtId="165" fontId="0" fillId="4" borderId="0" xfId="0" applyNumberFormat="1" applyFill="1" applyBorder="1" applyProtection="1"/>
    <xf numFmtId="44" fontId="0" fillId="4" borderId="0" xfId="1" applyFont="1" applyFill="1" applyBorder="1" applyProtection="1"/>
    <xf numFmtId="0" fontId="0" fillId="3" borderId="0" xfId="0" applyFill="1"/>
    <xf numFmtId="0" fontId="14" fillId="3" borderId="0" xfId="0" applyFont="1" applyFill="1"/>
    <xf numFmtId="166" fontId="0" fillId="3" borderId="0" xfId="0" applyNumberFormat="1" applyFill="1"/>
    <xf numFmtId="0" fontId="18" fillId="3" borderId="0" xfId="0" applyFont="1" applyFill="1" applyAlignment="1">
      <alignment horizontal="right"/>
    </xf>
    <xf numFmtId="166" fontId="18" fillId="3" borderId="0" xfId="0" applyNumberFormat="1" applyFont="1" applyFill="1" applyAlignment="1">
      <alignment horizontal="left"/>
    </xf>
    <xf numFmtId="44" fontId="0" fillId="3" borderId="0" xfId="0" applyNumberFormat="1" applyFill="1"/>
    <xf numFmtId="165" fontId="0" fillId="3" borderId="0" xfId="0" applyNumberFormat="1" applyFill="1" applyBorder="1" applyProtection="1"/>
    <xf numFmtId="0" fontId="18" fillId="3" borderId="0" xfId="0" applyFont="1" applyFill="1" applyBorder="1" applyAlignment="1">
      <alignment horizontal="center"/>
    </xf>
    <xf numFmtId="44" fontId="0" fillId="3" borderId="0" xfId="0" applyNumberFormat="1" applyFill="1" applyBorder="1"/>
    <xf numFmtId="10" fontId="18" fillId="3" borderId="0" xfId="2" applyNumberFormat="1" applyFont="1" applyFill="1" applyBorder="1"/>
    <xf numFmtId="44" fontId="18" fillId="3" borderId="0" xfId="0" applyNumberFormat="1" applyFont="1" applyFill="1" applyBorder="1"/>
    <xf numFmtId="0" fontId="18" fillId="8" borderId="0" xfId="0" applyFont="1" applyFill="1" applyBorder="1" applyAlignment="1">
      <alignment horizontal="center"/>
    </xf>
    <xf numFmtId="44" fontId="0" fillId="8" borderId="0" xfId="0" applyNumberFormat="1" applyFill="1" applyBorder="1"/>
    <xf numFmtId="10" fontId="18" fillId="8" borderId="0" xfId="2" applyNumberFormat="1" applyFont="1" applyFill="1" applyBorder="1"/>
    <xf numFmtId="44" fontId="18" fillId="8" borderId="0" xfId="0" applyNumberFormat="1" applyFont="1" applyFill="1" applyBorder="1"/>
    <xf numFmtId="0" fontId="2" fillId="2" borderId="8" xfId="0" applyFont="1" applyFill="1" applyBorder="1"/>
    <xf numFmtId="0" fontId="0" fillId="2" borderId="0" xfId="0" applyFill="1"/>
    <xf numFmtId="0" fontId="23" fillId="2" borderId="0" xfId="0" applyFont="1" applyFill="1"/>
    <xf numFmtId="0" fontId="23" fillId="2" borderId="1" xfId="0" applyFont="1" applyFill="1" applyBorder="1"/>
    <xf numFmtId="0" fontId="0" fillId="2" borderId="1" xfId="0" applyFill="1" applyBorder="1"/>
    <xf numFmtId="0" fontId="0" fillId="0" borderId="0" xfId="0" applyFill="1"/>
    <xf numFmtId="0" fontId="23" fillId="6" borderId="0" xfId="0" applyFont="1" applyFill="1" applyBorder="1" applyAlignment="1">
      <alignment horizontal="center"/>
    </xf>
    <xf numFmtId="0" fontId="23" fillId="6" borderId="1" xfId="0" applyFont="1" applyFill="1" applyBorder="1" applyAlignment="1">
      <alignment horizontal="center"/>
    </xf>
    <xf numFmtId="0" fontId="20" fillId="0" borderId="11" xfId="0" applyFont="1" applyFill="1" applyBorder="1" applyAlignment="1">
      <alignment horizontal="center"/>
    </xf>
    <xf numFmtId="0" fontId="9" fillId="3" borderId="4"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5" xfId="0" applyFont="1" applyFill="1" applyBorder="1" applyAlignment="1" applyProtection="1">
      <alignment horizontal="center"/>
    </xf>
  </cellXfs>
  <cellStyles count="3">
    <cellStyle name="Prozent" xfId="2" builtinId="5"/>
    <cellStyle name="Standard" xfId="0" builtinId="0"/>
    <cellStyle name="Währung" xfId="1" builtinId="4"/>
  </cellStyles>
  <dxfs count="11">
    <dxf>
      <font>
        <color rgb="FF9C0006"/>
      </font>
    </dxf>
    <dxf>
      <font>
        <color rgb="FF9C0006"/>
      </font>
    </dxf>
    <dxf>
      <font>
        <color rgb="FF9C0006"/>
      </font>
    </dxf>
    <dxf>
      <font>
        <color rgb="FF9C0006"/>
      </font>
    </dxf>
    <dxf>
      <font>
        <color rgb="FFFF0000"/>
      </font>
      <fill>
        <patternFill>
          <bgColor rgb="FFF8F8F8"/>
        </patternFill>
      </fill>
    </dxf>
    <dxf>
      <font>
        <color rgb="FFFF0000"/>
      </font>
      <fill>
        <patternFill patternType="solid">
          <bgColor rgb="FFF8F8F8"/>
        </patternFill>
      </fill>
    </dxf>
    <dxf>
      <fill>
        <patternFill>
          <bgColor rgb="FFFF5050"/>
        </patternFill>
      </fill>
    </dxf>
    <dxf>
      <font>
        <color rgb="FFFF0000"/>
      </font>
      <fill>
        <patternFill patternType="solid">
          <bgColor rgb="FFF8F8F8"/>
        </patternFill>
      </fill>
    </dxf>
    <dxf>
      <font>
        <color rgb="FF9C0006"/>
      </font>
    </dxf>
    <dxf>
      <fill>
        <patternFill>
          <bgColor rgb="FFFF0000"/>
        </patternFill>
      </fill>
    </dxf>
    <dxf>
      <font>
        <color rgb="FFFF0000"/>
      </font>
      <fill>
        <patternFill>
          <bgColor theme="7" tint="0.59996337778862885"/>
        </patternFill>
      </fill>
    </dxf>
  </dxfs>
  <tableStyles count="0" defaultTableStyle="TableStyleMedium2" defaultPivotStyle="PivotStyleLight16"/>
  <colors>
    <mruColors>
      <color rgb="FFF8F8F8"/>
      <color rgb="FFFFFF66"/>
      <color rgb="FFFF5050"/>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tabSelected="1" workbookViewId="0">
      <selection activeCell="C38" sqref="C38"/>
    </sheetView>
  </sheetViews>
  <sheetFormatPr baseColWidth="10" defaultRowHeight="15" x14ac:dyDescent="0.25"/>
  <cols>
    <col min="1" max="1" width="5" style="8" customWidth="1"/>
    <col min="2" max="2" width="58.28515625" customWidth="1"/>
    <col min="3" max="3" width="35.5703125" customWidth="1"/>
    <col min="4" max="4" width="4.140625" customWidth="1"/>
    <col min="5" max="6" width="13.7109375" customWidth="1"/>
    <col min="7" max="7" width="5.7109375" bestFit="1" customWidth="1"/>
    <col min="8" max="8" width="8" customWidth="1"/>
    <col min="9" max="9" width="15.140625" customWidth="1"/>
    <col min="10" max="10" width="1.28515625" customWidth="1"/>
    <col min="11" max="11" width="13.7109375" customWidth="1"/>
    <col min="12" max="12" width="16.7109375" customWidth="1"/>
  </cols>
  <sheetData>
    <row r="1" spans="1:12" ht="18.75" x14ac:dyDescent="0.25">
      <c r="B1" s="4" t="s">
        <v>11</v>
      </c>
      <c r="C1" s="4"/>
      <c r="D1" s="3"/>
    </row>
    <row r="2" spans="1:12" ht="4.9000000000000004" customHeight="1" x14ac:dyDescent="0.25"/>
    <row r="3" spans="1:12" x14ac:dyDescent="0.25">
      <c r="A3" s="8" t="s">
        <v>39</v>
      </c>
      <c r="B3" s="31" t="s">
        <v>45</v>
      </c>
      <c r="C3" s="27"/>
      <c r="E3" s="92" t="s">
        <v>85</v>
      </c>
      <c r="F3" s="93"/>
      <c r="G3" s="93"/>
      <c r="H3" s="93"/>
      <c r="I3" s="93"/>
      <c r="J3" s="93"/>
      <c r="K3" s="106"/>
      <c r="L3" s="107"/>
    </row>
    <row r="4" spans="1:12" x14ac:dyDescent="0.25">
      <c r="B4" s="32" t="s">
        <v>81</v>
      </c>
      <c r="C4" s="28"/>
      <c r="E4" s="101" t="s">
        <v>84</v>
      </c>
      <c r="F4" s="97"/>
      <c r="G4" s="97"/>
      <c r="H4" s="97"/>
      <c r="I4" s="97"/>
      <c r="J4" s="97"/>
      <c r="K4" s="97"/>
      <c r="L4" s="98"/>
    </row>
    <row r="5" spans="1:12" x14ac:dyDescent="0.25">
      <c r="B5" s="32" t="s">
        <v>46</v>
      </c>
      <c r="C5" s="28"/>
      <c r="D5" s="96"/>
      <c r="E5" s="99"/>
      <c r="F5" s="99"/>
      <c r="G5" s="99"/>
      <c r="H5" s="99"/>
      <c r="I5" s="99"/>
      <c r="J5" s="99"/>
      <c r="K5" s="99"/>
      <c r="L5" s="98"/>
    </row>
    <row r="6" spans="1:12" x14ac:dyDescent="0.25">
      <c r="B6" s="32" t="s">
        <v>7</v>
      </c>
      <c r="C6" s="29"/>
      <c r="D6" s="96"/>
      <c r="E6" s="31" t="s">
        <v>83</v>
      </c>
      <c r="F6" s="108" t="s">
        <v>82</v>
      </c>
      <c r="G6" s="117" t="s">
        <v>103</v>
      </c>
      <c r="H6" s="116"/>
      <c r="I6" s="115"/>
      <c r="J6" s="100"/>
      <c r="K6" s="100"/>
      <c r="L6" s="103"/>
    </row>
    <row r="7" spans="1:12" x14ac:dyDescent="0.25">
      <c r="B7" s="32" t="s">
        <v>4</v>
      </c>
      <c r="C7" s="30"/>
      <c r="E7" s="32" t="s">
        <v>80</v>
      </c>
      <c r="F7" s="70"/>
      <c r="G7" s="70"/>
      <c r="H7" s="70"/>
      <c r="I7" s="109">
        <v>0</v>
      </c>
      <c r="J7" s="121"/>
      <c r="K7" s="100"/>
      <c r="L7" s="104"/>
    </row>
    <row r="8" spans="1:12" x14ac:dyDescent="0.25">
      <c r="B8" s="32" t="s">
        <v>5</v>
      </c>
      <c r="C8" s="30"/>
      <c r="E8" s="32" t="s">
        <v>78</v>
      </c>
      <c r="F8" s="70"/>
      <c r="G8" s="70"/>
      <c r="H8" s="70"/>
      <c r="I8" s="110" t="str">
        <f>IF(I7&gt;0,C55*(1-I7),"")</f>
        <v/>
      </c>
      <c r="J8" s="122"/>
      <c r="K8" s="100"/>
      <c r="L8" s="103"/>
    </row>
    <row r="9" spans="1:12" x14ac:dyDescent="0.25">
      <c r="B9" s="32" t="s">
        <v>6</v>
      </c>
      <c r="C9" s="120"/>
      <c r="D9" s="96"/>
      <c r="E9" s="111" t="s">
        <v>79</v>
      </c>
      <c r="F9" s="112"/>
      <c r="G9" s="113"/>
      <c r="H9" s="113"/>
      <c r="I9" s="114"/>
      <c r="J9" s="100"/>
      <c r="K9" s="100"/>
      <c r="L9" s="103"/>
    </row>
    <row r="10" spans="1:12" x14ac:dyDescent="0.25">
      <c r="B10" s="32" t="s">
        <v>38</v>
      </c>
      <c r="C10" s="30"/>
      <c r="D10" s="96"/>
      <c r="E10" s="105"/>
      <c r="F10" s="105"/>
      <c r="G10" s="105"/>
      <c r="H10" s="105"/>
      <c r="I10" s="100"/>
      <c r="J10" s="100"/>
      <c r="K10" s="100"/>
      <c r="L10" s="103"/>
    </row>
    <row r="11" spans="1:12" x14ac:dyDescent="0.25">
      <c r="B11" s="33" t="s">
        <v>73</v>
      </c>
      <c r="C11" s="55"/>
      <c r="E11" s="102" t="s">
        <v>86</v>
      </c>
      <c r="F11" s="100"/>
      <c r="G11" s="100"/>
      <c r="H11" s="100"/>
      <c r="I11" s="100"/>
      <c r="J11" s="100"/>
      <c r="K11" s="100"/>
      <c r="L11" s="103"/>
    </row>
    <row r="12" spans="1:12" ht="3" customHeight="1" x14ac:dyDescent="0.25">
      <c r="B12" s="1"/>
      <c r="C12" s="1"/>
      <c r="E12" s="102"/>
      <c r="F12" s="100"/>
      <c r="G12" s="100"/>
      <c r="H12" s="100"/>
      <c r="I12" s="100"/>
      <c r="J12" s="100"/>
      <c r="K12" s="100"/>
      <c r="L12" s="103"/>
    </row>
    <row r="13" spans="1:12" ht="15.75" customHeight="1" x14ac:dyDescent="0.25">
      <c r="B13" s="42" t="s">
        <v>75</v>
      </c>
      <c r="C13" s="48"/>
      <c r="D13" s="96"/>
      <c r="E13" s="119" t="s">
        <v>104</v>
      </c>
      <c r="F13" s="100"/>
      <c r="G13" s="100"/>
      <c r="H13" s="100"/>
      <c r="I13" s="100"/>
      <c r="J13" s="100"/>
      <c r="K13" s="100"/>
      <c r="L13" s="103"/>
    </row>
    <row r="14" spans="1:12" x14ac:dyDescent="0.25">
      <c r="B14" s="43" t="s">
        <v>76</v>
      </c>
      <c r="C14" s="49"/>
      <c r="D14" s="96"/>
      <c r="E14" s="99"/>
      <c r="F14" s="99"/>
      <c r="G14" s="99"/>
      <c r="H14" s="99"/>
      <c r="I14" s="38"/>
      <c r="J14" s="38"/>
      <c r="K14" s="118"/>
      <c r="L14" s="28"/>
    </row>
    <row r="15" spans="1:12" hidden="1" x14ac:dyDescent="0.25">
      <c r="B15" s="90" t="s">
        <v>77</v>
      </c>
      <c r="C15">
        <f>C13+C14</f>
        <v>0</v>
      </c>
      <c r="E15" s="56"/>
      <c r="F15" s="38"/>
      <c r="G15" s="38"/>
      <c r="H15" s="38"/>
      <c r="I15" s="38"/>
      <c r="J15" s="38"/>
      <c r="K15" s="38"/>
      <c r="L15" s="28"/>
    </row>
    <row r="16" spans="1:12" ht="14.45" customHeight="1" x14ac:dyDescent="0.25">
      <c r="B16" s="146" t="str">
        <f>IF(C15=C11,"","Bitte Eingaben Kontrollieren (Summe Vorderland und Hinterland ungleich Erbbaurechtsfläche)")</f>
        <v/>
      </c>
      <c r="C16" s="146"/>
      <c r="E16" s="102"/>
      <c r="F16" s="100"/>
      <c r="G16" s="100"/>
      <c r="H16" s="100"/>
      <c r="I16" s="100"/>
      <c r="J16" s="100"/>
      <c r="K16" s="100"/>
      <c r="L16" s="103"/>
    </row>
    <row r="17" spans="1:12" x14ac:dyDescent="0.25">
      <c r="A17" s="8" t="s">
        <v>40</v>
      </c>
      <c r="B17" s="13" t="s">
        <v>106</v>
      </c>
      <c r="C17" s="34">
        <v>0</v>
      </c>
      <c r="E17" s="94" t="s">
        <v>56</v>
      </c>
      <c r="F17" s="95"/>
      <c r="G17" s="95"/>
      <c r="H17" s="95"/>
      <c r="I17" s="100"/>
      <c r="J17" s="100"/>
      <c r="K17" s="100"/>
      <c r="L17" s="103"/>
    </row>
    <row r="18" spans="1:12" x14ac:dyDescent="0.25">
      <c r="B18" s="12" t="s">
        <v>59</v>
      </c>
      <c r="C18" s="15">
        <f>C17*C13</f>
        <v>0</v>
      </c>
      <c r="E18" s="56"/>
      <c r="F18" s="38"/>
      <c r="G18" s="38"/>
      <c r="H18" s="38"/>
      <c r="I18" s="38"/>
      <c r="J18" s="38"/>
      <c r="K18" s="38"/>
      <c r="L18" s="28"/>
    </row>
    <row r="19" spans="1:12" x14ac:dyDescent="0.25">
      <c r="B19" s="12" t="s">
        <v>57</v>
      </c>
      <c r="C19" s="35">
        <v>0</v>
      </c>
      <c r="E19" s="56"/>
      <c r="F19" s="38"/>
      <c r="G19" s="38"/>
      <c r="H19" s="38"/>
      <c r="I19" s="38"/>
      <c r="J19" s="38"/>
      <c r="K19" s="38"/>
      <c r="L19" s="28"/>
    </row>
    <row r="20" spans="1:12" x14ac:dyDescent="0.25">
      <c r="B20" s="12" t="s">
        <v>60</v>
      </c>
      <c r="C20" s="6">
        <f>C18*(1-C19)</f>
        <v>0</v>
      </c>
      <c r="E20" s="56"/>
      <c r="F20" s="38"/>
      <c r="G20" s="38"/>
      <c r="H20" s="38"/>
      <c r="I20" s="38"/>
      <c r="J20" s="38"/>
      <c r="K20" s="38"/>
      <c r="L20" s="28"/>
    </row>
    <row r="21" spans="1:12" ht="15" customHeight="1" x14ac:dyDescent="0.25">
      <c r="B21" s="12" t="s">
        <v>49</v>
      </c>
      <c r="C21" s="35">
        <v>0</v>
      </c>
      <c r="E21" s="56"/>
      <c r="F21" s="38"/>
      <c r="G21" s="38"/>
      <c r="H21" s="38"/>
      <c r="I21" s="38"/>
      <c r="J21" s="38"/>
      <c r="K21" s="38"/>
      <c r="L21" s="28"/>
    </row>
    <row r="22" spans="1:12" x14ac:dyDescent="0.25">
      <c r="B22" s="12" t="s">
        <v>61</v>
      </c>
      <c r="C22" s="16">
        <f>C20*(1-C21)</f>
        <v>0</v>
      </c>
      <c r="E22" s="56"/>
      <c r="F22" s="38"/>
      <c r="G22" s="38"/>
      <c r="H22" s="38"/>
      <c r="I22" s="38"/>
      <c r="J22" s="38"/>
      <c r="K22" s="38"/>
      <c r="L22" s="28"/>
    </row>
    <row r="23" spans="1:12" x14ac:dyDescent="0.25">
      <c r="B23" s="12" t="s">
        <v>62</v>
      </c>
      <c r="C23" s="44" t="e">
        <f>C22/C13</f>
        <v>#DIV/0!</v>
      </c>
      <c r="E23" s="56"/>
      <c r="F23" s="38"/>
      <c r="G23" s="38"/>
      <c r="H23" s="38"/>
      <c r="I23" s="38"/>
      <c r="J23" s="38"/>
      <c r="K23" s="38"/>
      <c r="L23" s="28"/>
    </row>
    <row r="24" spans="1:12" ht="3.6" customHeight="1" x14ac:dyDescent="0.25">
      <c r="B24" s="12"/>
      <c r="C24" s="16"/>
      <c r="E24" s="56"/>
      <c r="F24" s="38"/>
      <c r="G24" s="38"/>
      <c r="H24" s="38"/>
      <c r="I24" s="38"/>
      <c r="J24" s="38"/>
      <c r="K24" s="38"/>
      <c r="L24" s="28"/>
    </row>
    <row r="25" spans="1:12" ht="14.45" customHeight="1" x14ac:dyDescent="0.25">
      <c r="B25" s="12" t="s">
        <v>68</v>
      </c>
      <c r="C25" s="35">
        <v>0</v>
      </c>
      <c r="D25" s="96"/>
      <c r="E25" s="99"/>
      <c r="F25" s="99"/>
      <c r="G25" s="99"/>
      <c r="H25" s="99"/>
      <c r="I25" s="38"/>
      <c r="J25" s="38"/>
      <c r="K25" s="38"/>
      <c r="L25" s="28"/>
    </row>
    <row r="26" spans="1:12" x14ac:dyDescent="0.25">
      <c r="B26" s="12" t="s">
        <v>69</v>
      </c>
      <c r="C26" s="41" t="e">
        <f>C14*C25*C23</f>
        <v>#DIV/0!</v>
      </c>
      <c r="E26" s="56"/>
      <c r="F26" s="38"/>
      <c r="G26" s="38"/>
      <c r="H26" s="38"/>
      <c r="I26" s="38"/>
      <c r="J26" s="38"/>
      <c r="K26" s="38"/>
      <c r="L26" s="28"/>
    </row>
    <row r="27" spans="1:12" x14ac:dyDescent="0.25">
      <c r="B27" s="12" t="s">
        <v>62</v>
      </c>
      <c r="C27" s="41" t="e">
        <f>C26/C14</f>
        <v>#DIV/0!</v>
      </c>
      <c r="E27" s="56"/>
      <c r="F27" s="38"/>
      <c r="G27" s="38"/>
      <c r="H27" s="38"/>
      <c r="I27" s="38"/>
      <c r="J27" s="38"/>
      <c r="K27" s="38"/>
      <c r="L27" s="28"/>
    </row>
    <row r="28" spans="1:12" ht="3.6" customHeight="1" x14ac:dyDescent="0.25">
      <c r="B28" s="12"/>
      <c r="C28" s="44"/>
      <c r="E28" s="56"/>
      <c r="F28" s="38"/>
      <c r="G28" s="38"/>
      <c r="H28" s="39"/>
      <c r="I28" s="39"/>
      <c r="J28" s="39"/>
      <c r="K28" s="39"/>
      <c r="L28" s="47"/>
    </row>
    <row r="29" spans="1:12" ht="14.45" customHeight="1" x14ac:dyDescent="0.25">
      <c r="B29" s="12" t="s">
        <v>70</v>
      </c>
      <c r="C29" s="45" t="e">
        <f>C22+C26</f>
        <v>#DIV/0!</v>
      </c>
      <c r="E29" s="56"/>
      <c r="F29" s="38"/>
      <c r="G29" s="38"/>
      <c r="H29" s="39"/>
      <c r="I29" s="39"/>
      <c r="J29" s="39"/>
      <c r="K29" s="39"/>
      <c r="L29" s="57"/>
    </row>
    <row r="30" spans="1:12" x14ac:dyDescent="0.25">
      <c r="B30" s="12" t="s">
        <v>62</v>
      </c>
      <c r="C30" s="41" t="e">
        <f>C29/C11</f>
        <v>#DIV/0!</v>
      </c>
      <c r="E30" s="56"/>
      <c r="F30" s="38"/>
      <c r="G30" s="38"/>
      <c r="H30" s="39"/>
      <c r="I30" s="39"/>
      <c r="J30" s="39"/>
      <c r="K30" s="40"/>
      <c r="L30" s="47"/>
    </row>
    <row r="31" spans="1:12" ht="4.9000000000000004" customHeight="1" x14ac:dyDescent="0.25">
      <c r="B31" s="12"/>
      <c r="C31" s="5"/>
      <c r="E31" s="56"/>
      <c r="F31" s="38"/>
      <c r="G31" s="38"/>
      <c r="H31" s="39"/>
      <c r="I31" s="39"/>
      <c r="J31" s="39"/>
      <c r="K31" s="39"/>
      <c r="L31" s="57"/>
    </row>
    <row r="32" spans="1:12" x14ac:dyDescent="0.25">
      <c r="B32" s="46" t="s">
        <v>74</v>
      </c>
      <c r="C32" s="47"/>
      <c r="E32" s="56"/>
      <c r="F32" s="38"/>
      <c r="G32" s="38"/>
      <c r="H32" s="39"/>
      <c r="I32" s="39"/>
      <c r="J32" s="39"/>
      <c r="K32" s="39"/>
      <c r="L32" s="57"/>
    </row>
    <row r="33" spans="1:12" x14ac:dyDescent="0.25">
      <c r="B33" s="43" t="s">
        <v>62</v>
      </c>
      <c r="C33" s="50" t="str">
        <f>IF(C32&gt;0,C32/C11,"")</f>
        <v/>
      </c>
      <c r="E33" s="58"/>
      <c r="F33" s="38"/>
      <c r="G33" s="38"/>
      <c r="H33" s="39"/>
      <c r="I33" s="39"/>
      <c r="J33" s="39"/>
      <c r="K33" s="39"/>
      <c r="L33" s="57"/>
    </row>
    <row r="34" spans="1:12" ht="3" customHeight="1" x14ac:dyDescent="0.25">
      <c r="E34" s="56"/>
      <c r="F34" s="38"/>
      <c r="G34" s="38"/>
      <c r="H34" s="38"/>
      <c r="I34" s="38"/>
      <c r="J34" s="38"/>
      <c r="K34" s="38"/>
      <c r="L34" s="28"/>
    </row>
    <row r="35" spans="1:12" x14ac:dyDescent="0.25">
      <c r="A35" s="8" t="s">
        <v>41</v>
      </c>
      <c r="B35" s="17" t="s">
        <v>44</v>
      </c>
      <c r="C35" s="18" t="e">
        <f>IF(C29&gt;0,C29,C32)</f>
        <v>#DIV/0!</v>
      </c>
      <c r="E35" s="56"/>
      <c r="F35" s="38"/>
      <c r="G35" s="38"/>
      <c r="H35" s="38"/>
      <c r="I35" s="38"/>
      <c r="J35" s="38"/>
      <c r="K35" s="38"/>
      <c r="L35" s="28"/>
    </row>
    <row r="36" spans="1:12" ht="2.4500000000000002" customHeight="1" x14ac:dyDescent="0.25">
      <c r="B36" s="2"/>
      <c r="C36" s="1"/>
      <c r="E36" s="56"/>
      <c r="F36" s="38"/>
      <c r="G36" s="38"/>
      <c r="H36" s="38"/>
      <c r="I36" s="38"/>
      <c r="J36" s="38"/>
      <c r="K36" s="38"/>
      <c r="L36" s="28"/>
    </row>
    <row r="37" spans="1:12" x14ac:dyDescent="0.25">
      <c r="A37" s="8" t="s">
        <v>42</v>
      </c>
      <c r="B37" s="11" t="s">
        <v>37</v>
      </c>
      <c r="C37" s="27"/>
      <c r="E37" s="56"/>
      <c r="F37" s="38"/>
      <c r="G37" s="38"/>
      <c r="H37" s="38"/>
      <c r="I37" s="38"/>
      <c r="J37" s="38"/>
      <c r="K37" s="38"/>
      <c r="L37" s="28"/>
    </row>
    <row r="38" spans="1:12" x14ac:dyDescent="0.25">
      <c r="B38" s="12" t="s">
        <v>55</v>
      </c>
      <c r="C38" s="28"/>
      <c r="E38" s="56"/>
      <c r="F38" s="38"/>
      <c r="G38" s="38"/>
      <c r="H38" s="38"/>
      <c r="I38" s="38"/>
      <c r="J38" s="38"/>
      <c r="K38" s="38"/>
      <c r="L38" s="28"/>
    </row>
    <row r="39" spans="1:12" x14ac:dyDescent="0.25">
      <c r="B39" s="12" t="s">
        <v>0</v>
      </c>
      <c r="C39" s="5">
        <f>C37+C38</f>
        <v>0</v>
      </c>
      <c r="E39" s="56"/>
      <c r="F39" s="38"/>
      <c r="G39" s="38"/>
      <c r="H39" s="38"/>
      <c r="I39" s="38"/>
      <c r="J39" s="38"/>
      <c r="K39" s="38"/>
      <c r="L39" s="28"/>
    </row>
    <row r="40" spans="1:12" x14ac:dyDescent="0.25">
      <c r="B40" s="12" t="s">
        <v>2</v>
      </c>
      <c r="C40" s="28"/>
      <c r="E40" s="56"/>
      <c r="F40" s="38"/>
      <c r="G40" s="38"/>
      <c r="H40" s="38"/>
      <c r="I40" s="38"/>
      <c r="J40" s="38"/>
      <c r="K40" s="38"/>
      <c r="L40" s="28"/>
    </row>
    <row r="41" spans="1:12" ht="15" customHeight="1" x14ac:dyDescent="0.25">
      <c r="B41" s="12" t="s">
        <v>50</v>
      </c>
      <c r="C41" s="5">
        <f>C39-C40</f>
        <v>0</v>
      </c>
      <c r="E41" s="56"/>
      <c r="F41" s="38"/>
      <c r="G41" s="38"/>
      <c r="H41" s="38"/>
      <c r="I41" s="38"/>
      <c r="J41" s="38"/>
      <c r="K41" s="38"/>
      <c r="L41" s="28"/>
    </row>
    <row r="42" spans="1:12" x14ac:dyDescent="0.25">
      <c r="B42" s="12" t="s">
        <v>3</v>
      </c>
      <c r="C42" s="36"/>
      <c r="E42" s="56"/>
      <c r="F42" s="38"/>
      <c r="G42" s="38"/>
      <c r="H42" s="38"/>
      <c r="I42" s="38"/>
      <c r="J42" s="38"/>
      <c r="K42" s="38"/>
      <c r="L42" s="28"/>
    </row>
    <row r="43" spans="1:12" ht="15" customHeight="1" x14ac:dyDescent="0.25">
      <c r="B43" s="12" t="s">
        <v>58</v>
      </c>
      <c r="C43" s="5">
        <f>C41+C42</f>
        <v>0</v>
      </c>
      <c r="E43" s="56"/>
      <c r="F43" s="38"/>
      <c r="G43" s="38"/>
      <c r="H43" s="38"/>
      <c r="I43" s="38"/>
      <c r="J43" s="38"/>
      <c r="K43" s="38"/>
      <c r="L43" s="28"/>
    </row>
    <row r="44" spans="1:12" ht="15.75" customHeight="1" x14ac:dyDescent="0.25">
      <c r="B44" s="12" t="s">
        <v>1</v>
      </c>
      <c r="C44" s="5">
        <f>C39+C42</f>
        <v>0</v>
      </c>
      <c r="E44" s="56"/>
      <c r="F44" s="38"/>
      <c r="G44" s="38"/>
      <c r="H44" s="38"/>
      <c r="I44" s="38"/>
      <c r="J44" s="38"/>
      <c r="K44" s="38"/>
      <c r="L44" s="28"/>
    </row>
    <row r="45" spans="1:12" ht="4.1500000000000004" customHeight="1" x14ac:dyDescent="0.25">
      <c r="B45" s="12"/>
      <c r="C45" s="5"/>
      <c r="E45" s="56"/>
      <c r="F45" s="38"/>
      <c r="G45" s="38"/>
      <c r="H45" s="38"/>
      <c r="I45" s="38"/>
      <c r="J45" s="38"/>
      <c r="K45" s="38"/>
      <c r="L45" s="28"/>
    </row>
    <row r="46" spans="1:12" x14ac:dyDescent="0.25">
      <c r="B46" s="12" t="s">
        <v>52</v>
      </c>
      <c r="C46" s="37">
        <v>0</v>
      </c>
      <c r="E46" s="56"/>
      <c r="F46" s="38"/>
      <c r="G46" s="38"/>
      <c r="H46" s="38"/>
      <c r="I46" s="38"/>
      <c r="J46" s="38"/>
      <c r="K46" s="38"/>
      <c r="L46" s="28"/>
    </row>
    <row r="47" spans="1:12" x14ac:dyDescent="0.25">
      <c r="B47" s="12" t="s">
        <v>51</v>
      </c>
      <c r="C47" s="21" t="e">
        <f>C46/C35</f>
        <v>#DIV/0!</v>
      </c>
      <c r="E47" s="56"/>
      <c r="F47" s="38"/>
      <c r="G47" s="38"/>
      <c r="H47" s="38"/>
      <c r="I47" s="38"/>
      <c r="J47" s="38"/>
      <c r="K47" s="38"/>
      <c r="L47" s="28"/>
    </row>
    <row r="48" spans="1:12" ht="15.75" customHeight="1" x14ac:dyDescent="0.25">
      <c r="B48" s="12" t="s">
        <v>64</v>
      </c>
      <c r="C48" s="91">
        <v>0.04</v>
      </c>
      <c r="E48" s="56"/>
      <c r="F48" s="38"/>
      <c r="G48" s="38"/>
      <c r="H48" s="38"/>
      <c r="I48" s="38"/>
      <c r="J48" s="38"/>
      <c r="K48" s="38"/>
      <c r="L48" s="28"/>
    </row>
    <row r="49" spans="1:12" ht="4.1500000000000004" customHeight="1" x14ac:dyDescent="0.25">
      <c r="B49" s="12"/>
      <c r="C49" s="10"/>
      <c r="E49" s="56"/>
      <c r="F49" s="38"/>
      <c r="G49" s="38"/>
      <c r="H49" s="38"/>
      <c r="I49" s="38"/>
      <c r="J49" s="38"/>
      <c r="K49" s="38"/>
      <c r="L49" s="28"/>
    </row>
    <row r="50" spans="1:12" ht="15.75" customHeight="1" x14ac:dyDescent="0.25">
      <c r="B50" s="12" t="s">
        <v>8</v>
      </c>
      <c r="C50" s="22" t="e">
        <f>C35*C48</f>
        <v>#DIV/0!</v>
      </c>
      <c r="E50" s="56"/>
      <c r="F50" s="38"/>
      <c r="G50" s="38"/>
      <c r="H50" s="38"/>
      <c r="I50" s="38"/>
      <c r="J50" s="38"/>
      <c r="K50" s="38"/>
      <c r="L50" s="28"/>
    </row>
    <row r="51" spans="1:12" x14ac:dyDescent="0.25">
      <c r="B51" s="12" t="s">
        <v>54</v>
      </c>
      <c r="C51" s="22" t="e">
        <f>SUM(C46+C50)/2</f>
        <v>#DIV/0!</v>
      </c>
      <c r="E51" s="56"/>
      <c r="F51" s="38"/>
      <c r="G51" s="38"/>
      <c r="H51" s="38"/>
      <c r="I51" s="38"/>
      <c r="J51" s="38"/>
      <c r="K51" s="38"/>
      <c r="L51" s="28"/>
    </row>
    <row r="52" spans="1:12" x14ac:dyDescent="0.25">
      <c r="B52" s="19" t="s">
        <v>53</v>
      </c>
      <c r="C52" s="23" t="e">
        <f>SUM(C46*C41+C50*C42)/C43</f>
        <v>#DIV/0!</v>
      </c>
      <c r="E52" s="56"/>
      <c r="F52" s="38"/>
      <c r="G52" s="38"/>
      <c r="H52" s="38"/>
      <c r="I52" s="38"/>
      <c r="J52" s="38"/>
      <c r="K52" s="38"/>
      <c r="L52" s="28"/>
    </row>
    <row r="53" spans="1:12" ht="15.75" customHeight="1" x14ac:dyDescent="0.25">
      <c r="B53" s="20" t="s">
        <v>9</v>
      </c>
      <c r="C53" s="24"/>
      <c r="E53" s="56"/>
      <c r="F53" s="38"/>
      <c r="G53" s="38"/>
      <c r="H53" s="38"/>
      <c r="I53" s="38"/>
      <c r="J53" s="38"/>
      <c r="K53" s="38"/>
      <c r="L53" s="28"/>
    </row>
    <row r="54" spans="1:12" ht="3" customHeight="1" x14ac:dyDescent="0.25">
      <c r="B54" s="1"/>
      <c r="C54" s="1"/>
      <c r="E54" s="56"/>
      <c r="F54" s="38"/>
      <c r="G54" s="38"/>
      <c r="H54" s="38"/>
      <c r="I54" s="38"/>
      <c r="J54" s="38"/>
      <c r="K54" s="38"/>
      <c r="L54" s="28"/>
    </row>
    <row r="55" spans="1:12" x14ac:dyDescent="0.25">
      <c r="A55" s="8" t="s">
        <v>43</v>
      </c>
      <c r="B55" s="25" t="e">
        <f>IF(C55=C46," Erbbauzins gleich Untergrenze akt. Erbbauzins (Mindestwert)","neuer Erbbauzins bei vorzeitiger Verlängerung (Mindestwert)")</f>
        <v>#DIV/0!</v>
      </c>
      <c r="C55" s="26" t="e">
        <f>IF(C52&gt;C46,C52,C46)</f>
        <v>#DIV/0!</v>
      </c>
      <c r="E55" s="56"/>
      <c r="F55" s="38"/>
      <c r="G55" s="38"/>
      <c r="H55" s="38"/>
      <c r="I55" s="38"/>
      <c r="J55" s="38"/>
      <c r="K55" s="38"/>
      <c r="L55" s="28"/>
    </row>
    <row r="56" spans="1:12" ht="15.75" customHeight="1" x14ac:dyDescent="0.25">
      <c r="B56" s="12" t="s">
        <v>29</v>
      </c>
      <c r="C56" s="21" t="e">
        <f>C55/C35</f>
        <v>#DIV/0!</v>
      </c>
      <c r="E56" s="56"/>
      <c r="F56" s="38"/>
      <c r="G56" s="38"/>
      <c r="H56" s="38"/>
      <c r="I56" s="38"/>
      <c r="J56" s="38"/>
      <c r="K56" s="38"/>
      <c r="L56" s="28"/>
    </row>
    <row r="57" spans="1:12" x14ac:dyDescent="0.25">
      <c r="B57" s="14" t="s">
        <v>63</v>
      </c>
      <c r="C57" s="52" t="e">
        <f>SUM(C50-C55)/C50</f>
        <v>#DIV/0!</v>
      </c>
      <c r="E57" s="59"/>
      <c r="F57" s="60"/>
      <c r="G57" s="60"/>
      <c r="H57" s="60"/>
      <c r="I57" s="60"/>
      <c r="J57" s="60"/>
      <c r="K57" s="60"/>
      <c r="L57" s="61"/>
    </row>
    <row r="58" spans="1:12" ht="12.6" customHeight="1" x14ac:dyDescent="0.25">
      <c r="A58" s="51"/>
      <c r="B58" s="53" t="s">
        <v>72</v>
      </c>
      <c r="C58" s="9" t="s">
        <v>105</v>
      </c>
      <c r="E58" s="54" t="s">
        <v>71</v>
      </c>
      <c r="L58" s="9" t="s">
        <v>105</v>
      </c>
    </row>
    <row r="59" spans="1:12" ht="7.9" customHeight="1" x14ac:dyDescent="0.25"/>
    <row r="60" spans="1:12" x14ac:dyDescent="0.25">
      <c r="B60" s="7"/>
      <c r="C60" s="9"/>
    </row>
    <row r="61" spans="1:12" x14ac:dyDescent="0.25">
      <c r="B61" s="1"/>
      <c r="C61" s="1"/>
    </row>
  </sheetData>
  <sheetProtection sheet="1" objects="1" scenarios="1" selectLockedCells="1"/>
  <mergeCells count="1">
    <mergeCell ref="B16:C16"/>
  </mergeCells>
  <conditionalFormatting sqref="C43">
    <cfRule type="cellIs" dxfId="10" priority="18" operator="notBetween">
      <formula>50</formula>
      <formula>99</formula>
    </cfRule>
  </conditionalFormatting>
  <conditionalFormatting sqref="C41">
    <cfRule type="cellIs" dxfId="9" priority="17" operator="greaterThan">
      <formula>40</formula>
    </cfRule>
  </conditionalFormatting>
  <conditionalFormatting sqref="C57">
    <cfRule type="cellIs" dxfId="8" priority="16" operator="lessThan">
      <formula>0</formula>
    </cfRule>
  </conditionalFormatting>
  <conditionalFormatting sqref="C13">
    <cfRule type="cellIs" dxfId="7" priority="2" operator="greaterThan">
      <formula>$C$11</formula>
    </cfRule>
    <cfRule type="cellIs" dxfId="6" priority="5" operator="greaterThan">
      <formula>$C$11</formula>
    </cfRule>
  </conditionalFormatting>
  <conditionalFormatting sqref="C14">
    <cfRule type="cellIs" dxfId="5" priority="1" operator="greaterThan">
      <formula>$C$11</formula>
    </cfRule>
  </conditionalFormatting>
  <conditionalFormatting sqref="C11">
    <cfRule type="cellIs" dxfId="4" priority="3" operator="lessThanOrEqual">
      <formula>0</formula>
    </cfRule>
  </conditionalFormatting>
  <pageMargins left="0.25" right="0.25"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J15" sqref="J15"/>
    </sheetView>
  </sheetViews>
  <sheetFormatPr baseColWidth="10" defaultRowHeight="15" x14ac:dyDescent="0.25"/>
  <cols>
    <col min="1" max="1" width="11.5703125" customWidth="1"/>
    <col min="2" max="2" width="14.7109375" customWidth="1"/>
    <col min="3" max="3" width="6.7109375" customWidth="1"/>
    <col min="5" max="5" width="14.7109375" customWidth="1"/>
    <col min="6" max="6" width="15.28515625" customWidth="1"/>
    <col min="7" max="7" width="14.7109375" customWidth="1"/>
  </cols>
  <sheetData>
    <row r="1" spans="1:7" ht="15.75" x14ac:dyDescent="0.25">
      <c r="A1" s="62" t="s">
        <v>67</v>
      </c>
      <c r="B1" s="63" t="s">
        <v>66</v>
      </c>
      <c r="C1" s="63"/>
      <c r="D1" s="63"/>
      <c r="E1" s="64"/>
      <c r="F1" s="64"/>
      <c r="G1" s="64"/>
    </row>
    <row r="2" spans="1:7" x14ac:dyDescent="0.25">
      <c r="A2" s="65"/>
      <c r="B2" s="65"/>
      <c r="C2" s="65"/>
      <c r="D2" s="65"/>
      <c r="E2" s="65"/>
      <c r="F2" s="65"/>
      <c r="G2" s="65"/>
    </row>
    <row r="3" spans="1:7" x14ac:dyDescent="0.25">
      <c r="A3" s="31" t="s">
        <v>13</v>
      </c>
      <c r="B3" s="66">
        <f>Hauptblatt!C46*Hauptblatt!C41</f>
        <v>0</v>
      </c>
      <c r="C3" s="67" t="s">
        <v>65</v>
      </c>
      <c r="D3" s="68" t="s">
        <v>14</v>
      </c>
      <c r="E3" s="67" t="e">
        <f>Hauptblatt!C50*Hauptblatt!C42</f>
        <v>#DIV/0!</v>
      </c>
      <c r="F3" s="68" t="s">
        <v>15</v>
      </c>
      <c r="G3" s="69" t="e">
        <f>B3+E3</f>
        <v>#DIV/0!</v>
      </c>
    </row>
    <row r="4" spans="1:7" x14ac:dyDescent="0.25">
      <c r="A4" s="32"/>
      <c r="B4" s="70"/>
      <c r="C4" s="70"/>
      <c r="D4" s="70"/>
      <c r="E4" s="70"/>
      <c r="F4" s="70" t="e">
        <f>IF(Hauptblatt!C46&gt;Hauptblatt!C52,"Untergrenze","/ neue GLZ")</f>
        <v>#DIV/0!</v>
      </c>
      <c r="G4" s="71" t="e">
        <f>IF(G3/Hauptblatt!C43&gt;Hauptblatt!C46,Hauptblatt!C55,Hauptblatt!C55)</f>
        <v>#DIV/0!</v>
      </c>
    </row>
    <row r="5" spans="1:7" x14ac:dyDescent="0.25">
      <c r="A5" s="32" t="s">
        <v>16</v>
      </c>
      <c r="B5" s="72" t="e">
        <f>Hauptblatt!C50*Hauptblatt!C41</f>
        <v>#DIV/0!</v>
      </c>
      <c r="C5" s="73" t="s">
        <v>65</v>
      </c>
      <c r="D5" s="70" t="s">
        <v>14</v>
      </c>
      <c r="E5" s="73" t="e">
        <f>Hauptblatt!C50*Hauptblatt!C42</f>
        <v>#DIV/0!</v>
      </c>
      <c r="F5" s="70" t="s">
        <v>15</v>
      </c>
      <c r="G5" s="74" t="e">
        <f>B5+E5</f>
        <v>#DIV/0!</v>
      </c>
    </row>
    <row r="6" spans="1:7" x14ac:dyDescent="0.25">
      <c r="A6" s="32"/>
      <c r="B6" s="70"/>
      <c r="C6" s="70"/>
      <c r="D6" s="70"/>
      <c r="E6" s="70"/>
      <c r="F6" s="70" t="s">
        <v>31</v>
      </c>
      <c r="G6" s="71" t="e">
        <f>G5/Hauptblatt!C43</f>
        <v>#DIV/0!</v>
      </c>
    </row>
    <row r="7" spans="1:7" x14ac:dyDescent="0.25">
      <c r="A7" s="32" t="s">
        <v>18</v>
      </c>
      <c r="B7" s="75" t="e">
        <f>B5-B3</f>
        <v>#DIV/0!</v>
      </c>
      <c r="C7" s="73"/>
      <c r="D7" s="70"/>
      <c r="E7" s="70"/>
      <c r="F7" s="70" t="s">
        <v>17</v>
      </c>
      <c r="G7" s="71" t="e">
        <f>G6-G4</f>
        <v>#DIV/0!</v>
      </c>
    </row>
    <row r="8" spans="1:7" x14ac:dyDescent="0.25">
      <c r="A8" s="32"/>
      <c r="B8" s="70"/>
      <c r="C8" s="70"/>
      <c r="D8" s="70"/>
      <c r="E8" s="70"/>
      <c r="F8" s="70" t="s">
        <v>32</v>
      </c>
      <c r="G8" s="76" t="e">
        <f>Hauptblatt!C43*G7</f>
        <v>#DIV/0!</v>
      </c>
    </row>
    <row r="9" spans="1:7" x14ac:dyDescent="0.25">
      <c r="A9" s="32"/>
      <c r="B9" s="70"/>
      <c r="C9" s="70"/>
      <c r="D9" s="70"/>
      <c r="E9" s="70"/>
      <c r="F9" s="70"/>
      <c r="G9" s="77"/>
    </row>
    <row r="10" spans="1:7" x14ac:dyDescent="0.25">
      <c r="A10" s="147" t="e">
        <f>IF(Hauptblatt!C52&gt;Hauptblatt!C46,"wirtschaftlicher Vorteil des Erbbaurechts wird auf neue Gesamtlaufzeit gleich verteilt","Negativvorteil hat keine Auswirkungen durch Untergrenze &gt; Erbbauzins bleibt unverändert")</f>
        <v>#DIV/0!</v>
      </c>
      <c r="B10" s="148"/>
      <c r="C10" s="148"/>
      <c r="D10" s="148"/>
      <c r="E10" s="148"/>
      <c r="F10" s="148"/>
      <c r="G10" s="149"/>
    </row>
    <row r="11" spans="1:7" x14ac:dyDescent="0.25">
      <c r="A11" s="32"/>
      <c r="B11" s="70"/>
      <c r="C11" s="70"/>
      <c r="D11" s="70"/>
      <c r="E11" s="70"/>
      <c r="F11" s="70"/>
      <c r="G11" s="78"/>
    </row>
    <row r="12" spans="1:7" x14ac:dyDescent="0.25">
      <c r="A12" s="79" t="s">
        <v>19</v>
      </c>
      <c r="B12" s="73"/>
      <c r="C12" s="73"/>
      <c r="D12" s="70"/>
      <c r="E12" s="70"/>
      <c r="F12" s="70"/>
      <c r="G12" s="77"/>
    </row>
    <row r="13" spans="1:7" x14ac:dyDescent="0.25">
      <c r="A13" s="32" t="s">
        <v>12</v>
      </c>
      <c r="B13" s="70"/>
      <c r="C13" s="70"/>
      <c r="D13" s="70"/>
      <c r="E13" s="70"/>
      <c r="F13" s="70"/>
      <c r="G13" s="80" t="e">
        <f>(Hauptblatt!C50-Hauptblatt!C46)*Hauptblatt!C41</f>
        <v>#DIV/0!</v>
      </c>
    </row>
    <row r="14" spans="1:7" x14ac:dyDescent="0.25">
      <c r="A14" s="32" t="s">
        <v>28</v>
      </c>
      <c r="B14" s="70"/>
      <c r="C14" s="70"/>
      <c r="D14" s="70"/>
      <c r="E14" s="70"/>
      <c r="F14" s="70"/>
      <c r="G14" s="81" t="e">
        <f>(Hauptblatt!C55-Hauptblatt!C46)*Hauptblatt!C41</f>
        <v>#DIV/0!</v>
      </c>
    </row>
    <row r="15" spans="1:7" x14ac:dyDescent="0.25">
      <c r="A15" s="32" t="s">
        <v>26</v>
      </c>
      <c r="B15" s="70"/>
      <c r="C15" s="70"/>
      <c r="D15" s="70"/>
      <c r="E15" s="70"/>
      <c r="F15" s="70"/>
      <c r="G15" s="78" t="e">
        <f>G13-G14</f>
        <v>#DIV/0!</v>
      </c>
    </row>
    <row r="16" spans="1:7" x14ac:dyDescent="0.25">
      <c r="A16" s="32" t="s">
        <v>27</v>
      </c>
      <c r="B16" s="70"/>
      <c r="C16" s="70"/>
      <c r="D16" s="70"/>
      <c r="E16" s="70"/>
      <c r="F16" s="70"/>
      <c r="G16" s="78" t="e">
        <f>(Hauptblatt!C50-Hauptblatt!C55)*Hauptblatt!C42</f>
        <v>#DIV/0!</v>
      </c>
    </row>
    <row r="17" spans="1:7" x14ac:dyDescent="0.25">
      <c r="A17" s="32" t="s">
        <v>30</v>
      </c>
      <c r="B17" s="70"/>
      <c r="C17" s="70"/>
      <c r="D17" s="70"/>
      <c r="E17" s="70"/>
      <c r="F17" s="70"/>
      <c r="G17" s="82" t="e">
        <f>SUM(G15:G16)</f>
        <v>#DIV/0!</v>
      </c>
    </row>
    <row r="18" spans="1:7" x14ac:dyDescent="0.25">
      <c r="A18" s="83" t="s">
        <v>25</v>
      </c>
      <c r="B18" s="84"/>
      <c r="C18" s="84"/>
      <c r="D18" s="84"/>
      <c r="E18" s="84"/>
      <c r="F18" s="84"/>
      <c r="G18" s="77"/>
    </row>
    <row r="19" spans="1:7" x14ac:dyDescent="0.25">
      <c r="A19" s="85" t="s">
        <v>20</v>
      </c>
      <c r="B19" s="84" t="s">
        <v>21</v>
      </c>
      <c r="C19" s="84"/>
      <c r="D19" s="84"/>
      <c r="E19" s="84" t="s">
        <v>23</v>
      </c>
      <c r="F19" s="84" t="s">
        <v>24</v>
      </c>
      <c r="G19" s="77"/>
    </row>
    <row r="20" spans="1:7" x14ac:dyDescent="0.25">
      <c r="A20" s="85" t="s">
        <v>10</v>
      </c>
      <c r="B20" s="84" t="s">
        <v>22</v>
      </c>
      <c r="C20" s="84"/>
      <c r="D20" s="84"/>
      <c r="E20" s="84" t="s">
        <v>33</v>
      </c>
      <c r="F20" s="84" t="s">
        <v>34</v>
      </c>
      <c r="G20" s="77"/>
    </row>
    <row r="21" spans="1:7" x14ac:dyDescent="0.25">
      <c r="A21" s="85" t="s">
        <v>35</v>
      </c>
      <c r="B21" s="84" t="s">
        <v>36</v>
      </c>
      <c r="C21" s="84"/>
      <c r="D21" s="84"/>
      <c r="E21" s="84" t="s">
        <v>47</v>
      </c>
      <c r="F21" s="84" t="s">
        <v>48</v>
      </c>
      <c r="G21" s="77"/>
    </row>
    <row r="22" spans="1:7" x14ac:dyDescent="0.25">
      <c r="A22" s="86"/>
      <c r="B22" s="87"/>
      <c r="C22" s="87"/>
      <c r="D22" s="88"/>
      <c r="E22" s="87"/>
      <c r="F22" s="87"/>
      <c r="G22" s="89"/>
    </row>
  </sheetData>
  <sheetProtection algorithmName="SHA-512" hashValue="epqc6FkhZc+bDLia4zvW74PBsHLRiZtTijo/T6KHfuKoGJLyMI8r59xmUwDsYAXnrs0QAhhXMsSHbJnmFojyZA==" saltValue="I/mE9GafxSnai9MWamiu2g==" spinCount="100000" sheet="1" objects="1" scenarios="1" selectLockedCells="1"/>
  <mergeCells count="1">
    <mergeCell ref="A10:G10"/>
  </mergeCells>
  <conditionalFormatting sqref="B7:C7">
    <cfRule type="cellIs" dxfId="3" priority="4" operator="lessThan">
      <formula>0</formula>
    </cfRule>
  </conditionalFormatting>
  <conditionalFormatting sqref="G7">
    <cfRule type="cellIs" dxfId="2" priority="3" operator="lessThan">
      <formula>0</formula>
    </cfRule>
  </conditionalFormatting>
  <conditionalFormatting sqref="G8">
    <cfRule type="cellIs" dxfId="1" priority="2" operator="lessThan">
      <formula>0</formula>
    </cfRule>
  </conditionalFormatting>
  <conditionalFormatting sqref="G13:G17">
    <cfRule type="cellIs" dxfId="0" priority="1" operator="lessThan">
      <formula>0</formula>
    </cfRule>
  </conditionalFormatting>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L9" sqref="L9"/>
    </sheetView>
  </sheetViews>
  <sheetFormatPr baseColWidth="10" defaultRowHeight="15" x14ac:dyDescent="0.25"/>
  <sheetData>
    <row r="1" spans="1:7" x14ac:dyDescent="0.25">
      <c r="A1" s="138" t="s">
        <v>87</v>
      </c>
      <c r="B1" s="93"/>
      <c r="C1" s="93"/>
      <c r="D1" s="93"/>
      <c r="E1" s="139"/>
      <c r="F1" s="139"/>
      <c r="G1" s="139"/>
    </row>
    <row r="2" spans="1:7" x14ac:dyDescent="0.25">
      <c r="A2" s="140" t="s">
        <v>101</v>
      </c>
      <c r="B2" s="139"/>
      <c r="C2" s="139"/>
      <c r="D2" s="139"/>
      <c r="E2" s="139"/>
      <c r="F2" s="139"/>
      <c r="G2" s="139"/>
    </row>
    <row r="3" spans="1:7" x14ac:dyDescent="0.25">
      <c r="A3" s="141" t="s">
        <v>88</v>
      </c>
      <c r="B3" s="142"/>
      <c r="C3" s="142"/>
      <c r="D3" s="142"/>
      <c r="E3" s="142"/>
      <c r="F3" s="142"/>
      <c r="G3" s="142"/>
    </row>
    <row r="4" spans="1:7" x14ac:dyDescent="0.25">
      <c r="A4" s="143"/>
      <c r="B4" s="143"/>
      <c r="C4" s="143"/>
      <c r="D4" s="143"/>
      <c r="E4" s="143"/>
      <c r="F4" s="143"/>
      <c r="G4" s="143"/>
    </row>
    <row r="5" spans="1:7" x14ac:dyDescent="0.25">
      <c r="A5" s="124" t="s">
        <v>89</v>
      </c>
      <c r="B5" s="123"/>
      <c r="C5" s="123"/>
      <c r="D5" s="123"/>
      <c r="E5" s="123"/>
      <c r="F5" s="123"/>
      <c r="G5" s="123"/>
    </row>
    <row r="6" spans="1:7" x14ac:dyDescent="0.25">
      <c r="A6" s="123" t="s">
        <v>22</v>
      </c>
      <c r="B6" s="123"/>
      <c r="C6" s="123"/>
      <c r="D6" s="125">
        <f>Hauptblatt!C41</f>
        <v>0</v>
      </c>
      <c r="E6" s="123"/>
      <c r="F6" s="126" t="s">
        <v>90</v>
      </c>
      <c r="G6" s="127">
        <v>99</v>
      </c>
    </row>
    <row r="7" spans="1:7" x14ac:dyDescent="0.25">
      <c r="A7" s="123" t="s">
        <v>91</v>
      </c>
      <c r="B7" s="123"/>
      <c r="C7" s="123"/>
      <c r="D7" s="128">
        <f>Hauptblatt!C46</f>
        <v>0</v>
      </c>
      <c r="E7" s="123"/>
      <c r="F7" s="123"/>
      <c r="G7" s="123"/>
    </row>
    <row r="8" spans="1:7" x14ac:dyDescent="0.25">
      <c r="A8" s="123" t="s">
        <v>92</v>
      </c>
      <c r="B8" s="123"/>
      <c r="C8" s="123"/>
      <c r="D8" s="128" t="e">
        <f>Hauptblatt!C50</f>
        <v>#DIV/0!</v>
      </c>
      <c r="E8" s="123"/>
      <c r="F8" s="123"/>
      <c r="G8" s="123"/>
    </row>
    <row r="9" spans="1:7" x14ac:dyDescent="0.25">
      <c r="A9" s="123" t="s">
        <v>102</v>
      </c>
      <c r="B9" s="123"/>
      <c r="C9" s="123"/>
      <c r="D9" s="129">
        <f>Hauptblatt!I7</f>
        <v>0</v>
      </c>
      <c r="E9" s="123"/>
      <c r="F9" s="123"/>
      <c r="G9" s="123"/>
    </row>
    <row r="10" spans="1:7" x14ac:dyDescent="0.25">
      <c r="A10" s="143"/>
      <c r="B10" s="143"/>
      <c r="C10" s="143"/>
      <c r="D10" s="143"/>
      <c r="E10" s="143"/>
      <c r="F10" s="143"/>
      <c r="G10" s="143"/>
    </row>
    <row r="11" spans="1:7" x14ac:dyDescent="0.25">
      <c r="A11" s="144" t="s">
        <v>10</v>
      </c>
      <c r="B11" s="144" t="s">
        <v>93</v>
      </c>
      <c r="C11" s="144" t="s">
        <v>94</v>
      </c>
      <c r="D11" s="144" t="s">
        <v>95</v>
      </c>
      <c r="E11" s="144" t="s">
        <v>96</v>
      </c>
      <c r="F11" s="144" t="s">
        <v>96</v>
      </c>
      <c r="G11" s="144" t="s">
        <v>21</v>
      </c>
    </row>
    <row r="12" spans="1:7" x14ac:dyDescent="0.25">
      <c r="A12" s="145"/>
      <c r="B12" s="145"/>
      <c r="C12" s="145"/>
      <c r="D12" s="145" t="s">
        <v>97</v>
      </c>
      <c r="E12" s="145" t="s">
        <v>98</v>
      </c>
      <c r="F12" s="145" t="s">
        <v>99</v>
      </c>
      <c r="G12" s="145" t="s">
        <v>100</v>
      </c>
    </row>
    <row r="13" spans="1:7" x14ac:dyDescent="0.25">
      <c r="A13" s="130">
        <f>IF($D$6&lt;=40,$D$6,"Nicht möglich")</f>
        <v>0</v>
      </c>
      <c r="B13" s="130">
        <f>IF(A13="Nicht möglich","RND zu hoch",5)</f>
        <v>5</v>
      </c>
      <c r="C13" s="130" t="str">
        <f>IF(B13="RND zu hoch","",IF(SUM(A13+B13)&gt;=99,"GLZ zu hoch",IF(SUM(A13+B13)&lt;50,"GLZ zu niedrig",A13+B13)))</f>
        <v>GLZ zu niedrig</v>
      </c>
      <c r="D13" s="131" t="e">
        <f>(IF(OR(A13="Nicht möglich",C13="Nicht möglich",C13="GLZ zu hoch"),"",($D$7*A13+$D$8*B13)/C13))</f>
        <v>#DIV/0!</v>
      </c>
      <c r="E13" s="132" t="str">
        <f t="shared" ref="E13:E17" si="0">IF(OR(B13="RND zu hoch"),"",IF(AND(B13&gt;=30,C13&lt;&gt;"GLZ zu hoch"),$D$9,""))</f>
        <v/>
      </c>
      <c r="F13" s="133" t="str">
        <f>IF(E13="","",D13*E13)</f>
        <v/>
      </c>
      <c r="G13" s="131" t="str">
        <f>IF(E13="","",D13-F13)</f>
        <v/>
      </c>
    </row>
    <row r="14" spans="1:7" x14ac:dyDescent="0.25">
      <c r="A14" s="130">
        <f t="shared" ref="A14:A33" si="1">IF($D$6&lt;=40,$D$6,"Nicht möglich")</f>
        <v>0</v>
      </c>
      <c r="B14" s="130">
        <f>IF(A13="Nicht möglich","RND zu hoch",10)</f>
        <v>10</v>
      </c>
      <c r="C14" s="130" t="str">
        <f>IF(B14="RND zu hoch","",IF(SUM(A14+B14)&gt;=99,"GLZ zu hoch",IF(SUM(A14+B14)&lt;50,"GLZ zu niedrig",A14+B14)))</f>
        <v>GLZ zu niedrig</v>
      </c>
      <c r="D14" s="131" t="e">
        <f t="shared" ref="D14:D31" si="2">(IF(OR(A14="Nicht möglich",C14="Nicht möglich",C14="GLZ zu hoch"),"",($D$7*A14+$D$8*B14)/C14))</f>
        <v>#DIV/0!</v>
      </c>
      <c r="E14" s="132" t="str">
        <f t="shared" si="0"/>
        <v/>
      </c>
      <c r="F14" s="133" t="str">
        <f t="shared" ref="F14:F31" si="3">IF(E14="","",D14*E14)</f>
        <v/>
      </c>
      <c r="G14" s="131" t="str">
        <f t="shared" ref="G14:G17" si="4">IF(E14="","",D14-F14)</f>
        <v/>
      </c>
    </row>
    <row r="15" spans="1:7" x14ac:dyDescent="0.25">
      <c r="A15" s="130">
        <f t="shared" si="1"/>
        <v>0</v>
      </c>
      <c r="B15" s="130">
        <f>IF(A13="Nicht möglich","RND zu hoch",15)</f>
        <v>15</v>
      </c>
      <c r="C15" s="130" t="str">
        <f t="shared" ref="C15:C31" si="5">IF(B15="RND zu hoch","",IF(SUM(A15+B15)&gt;=99,"GLZ zu hoch",IF(SUM(A15+B15)&lt;50,"GLZ zu niedrig",A15+B15)))</f>
        <v>GLZ zu niedrig</v>
      </c>
      <c r="D15" s="131" t="e">
        <f t="shared" si="2"/>
        <v>#DIV/0!</v>
      </c>
      <c r="E15" s="132" t="str">
        <f t="shared" si="0"/>
        <v/>
      </c>
      <c r="F15" s="133" t="str">
        <f t="shared" si="3"/>
        <v/>
      </c>
      <c r="G15" s="131" t="str">
        <f t="shared" si="4"/>
        <v/>
      </c>
    </row>
    <row r="16" spans="1:7" x14ac:dyDescent="0.25">
      <c r="A16" s="130">
        <f t="shared" si="1"/>
        <v>0</v>
      </c>
      <c r="B16" s="130">
        <f>IF(A13="Nicht möglich","RND zu hoch",20)</f>
        <v>20</v>
      </c>
      <c r="C16" s="130" t="str">
        <f t="shared" si="5"/>
        <v>GLZ zu niedrig</v>
      </c>
      <c r="D16" s="131" t="e">
        <f t="shared" si="2"/>
        <v>#DIV/0!</v>
      </c>
      <c r="E16" s="132" t="str">
        <f t="shared" si="0"/>
        <v/>
      </c>
      <c r="F16" s="133" t="str">
        <f t="shared" si="3"/>
        <v/>
      </c>
      <c r="G16" s="131" t="str">
        <f t="shared" si="4"/>
        <v/>
      </c>
    </row>
    <row r="17" spans="1:7" x14ac:dyDescent="0.25">
      <c r="A17" s="130">
        <f t="shared" si="1"/>
        <v>0</v>
      </c>
      <c r="B17" s="130">
        <f>IF(A13="Nicht möglich","RND zu hoch",25)</f>
        <v>25</v>
      </c>
      <c r="C17" s="130" t="str">
        <f t="shared" si="5"/>
        <v>GLZ zu niedrig</v>
      </c>
      <c r="D17" s="131" t="e">
        <f t="shared" si="2"/>
        <v>#DIV/0!</v>
      </c>
      <c r="E17" s="132" t="str">
        <f t="shared" si="0"/>
        <v/>
      </c>
      <c r="F17" s="133" t="str">
        <f t="shared" si="3"/>
        <v/>
      </c>
      <c r="G17" s="131" t="str">
        <f t="shared" si="4"/>
        <v/>
      </c>
    </row>
    <row r="18" spans="1:7" x14ac:dyDescent="0.25">
      <c r="A18" s="130">
        <f t="shared" si="1"/>
        <v>0</v>
      </c>
      <c r="B18" s="130">
        <f>IF(A13="Nicht möglich","RND zu hoch",30)</f>
        <v>30</v>
      </c>
      <c r="C18" s="130" t="str">
        <f t="shared" si="5"/>
        <v>GLZ zu niedrig</v>
      </c>
      <c r="D18" s="131" t="e">
        <f t="shared" si="2"/>
        <v>#DIV/0!</v>
      </c>
      <c r="E18" s="132">
        <f>IF(OR(B18="RND zu hoch"),"",IF(AND(B18&gt;=30,C18&lt;&gt;"GLZ zu hoch"),$D$9,""))</f>
        <v>0</v>
      </c>
      <c r="F18" s="133" t="e">
        <f t="shared" si="3"/>
        <v>#DIV/0!</v>
      </c>
      <c r="G18" s="131" t="str">
        <f>IF(E18&gt;0,D18-F18,"")</f>
        <v/>
      </c>
    </row>
    <row r="19" spans="1:7" x14ac:dyDescent="0.25">
      <c r="A19" s="130">
        <f t="shared" si="1"/>
        <v>0</v>
      </c>
      <c r="B19" s="130">
        <f>IF(A13="Nicht möglich","RND zu hoch",35)</f>
        <v>35</v>
      </c>
      <c r="C19" s="130" t="str">
        <f t="shared" si="5"/>
        <v>GLZ zu niedrig</v>
      </c>
      <c r="D19" s="131" t="e">
        <f t="shared" si="2"/>
        <v>#DIV/0!</v>
      </c>
      <c r="E19" s="132">
        <f t="shared" ref="E19:E27" si="6">IF(OR(B19="RND zu hoch"),"",IF(AND(B19&gt;=30,C19&lt;&gt;"GLZ zu hoch"),$D$9,""))</f>
        <v>0</v>
      </c>
      <c r="F19" s="133" t="e">
        <f t="shared" si="3"/>
        <v>#DIV/0!</v>
      </c>
      <c r="G19" s="131" t="str">
        <f t="shared" ref="G19:G31" si="7">IF(E19&gt;0,D19-F19,"")</f>
        <v/>
      </c>
    </row>
    <row r="20" spans="1:7" x14ac:dyDescent="0.25">
      <c r="A20" s="130">
        <f t="shared" si="1"/>
        <v>0</v>
      </c>
      <c r="B20" s="130">
        <f>IF(A13="Nicht möglich","RND zu hoch",40)</f>
        <v>40</v>
      </c>
      <c r="C20" s="130" t="str">
        <f t="shared" si="5"/>
        <v>GLZ zu niedrig</v>
      </c>
      <c r="D20" s="131" t="e">
        <f t="shared" si="2"/>
        <v>#DIV/0!</v>
      </c>
      <c r="E20" s="132">
        <f t="shared" si="6"/>
        <v>0</v>
      </c>
      <c r="F20" s="133" t="e">
        <f t="shared" si="3"/>
        <v>#DIV/0!</v>
      </c>
      <c r="G20" s="131" t="str">
        <f t="shared" si="7"/>
        <v/>
      </c>
    </row>
    <row r="21" spans="1:7" x14ac:dyDescent="0.25">
      <c r="A21" s="130">
        <f t="shared" si="1"/>
        <v>0</v>
      </c>
      <c r="B21" s="130">
        <f>IF(A13="Nicht möglich","RND zu hoch",45)</f>
        <v>45</v>
      </c>
      <c r="C21" s="130" t="str">
        <f t="shared" si="5"/>
        <v>GLZ zu niedrig</v>
      </c>
      <c r="D21" s="131" t="e">
        <f t="shared" si="2"/>
        <v>#DIV/0!</v>
      </c>
      <c r="E21" s="132">
        <f t="shared" si="6"/>
        <v>0</v>
      </c>
      <c r="F21" s="133" t="e">
        <f t="shared" si="3"/>
        <v>#DIV/0!</v>
      </c>
      <c r="G21" s="131" t="str">
        <f t="shared" si="7"/>
        <v/>
      </c>
    </row>
    <row r="22" spans="1:7" x14ac:dyDescent="0.25">
      <c r="A22" s="130">
        <f t="shared" si="1"/>
        <v>0</v>
      </c>
      <c r="B22" s="130">
        <f>IF(A13="Nicht möglich","RND zu hoch",50)</f>
        <v>50</v>
      </c>
      <c r="C22" s="130">
        <f t="shared" si="5"/>
        <v>50</v>
      </c>
      <c r="D22" s="131" t="e">
        <f t="shared" si="2"/>
        <v>#DIV/0!</v>
      </c>
      <c r="E22" s="132">
        <f t="shared" si="6"/>
        <v>0</v>
      </c>
      <c r="F22" s="133" t="e">
        <f t="shared" si="3"/>
        <v>#DIV/0!</v>
      </c>
      <c r="G22" s="131" t="str">
        <f t="shared" si="7"/>
        <v/>
      </c>
    </row>
    <row r="23" spans="1:7" x14ac:dyDescent="0.25">
      <c r="A23" s="130">
        <f t="shared" si="1"/>
        <v>0</v>
      </c>
      <c r="B23" s="130">
        <f>IF(A13="Nicht möglich","RND zu hoch",55)</f>
        <v>55</v>
      </c>
      <c r="C23" s="130">
        <f t="shared" si="5"/>
        <v>55</v>
      </c>
      <c r="D23" s="131" t="e">
        <f t="shared" si="2"/>
        <v>#DIV/0!</v>
      </c>
      <c r="E23" s="132">
        <f t="shared" si="6"/>
        <v>0</v>
      </c>
      <c r="F23" s="133" t="e">
        <f t="shared" si="3"/>
        <v>#DIV/0!</v>
      </c>
      <c r="G23" s="131" t="str">
        <f t="shared" si="7"/>
        <v/>
      </c>
    </row>
    <row r="24" spans="1:7" x14ac:dyDescent="0.25">
      <c r="A24" s="130">
        <f t="shared" si="1"/>
        <v>0</v>
      </c>
      <c r="B24" s="130">
        <f>IF(A13="Nicht möglich","RND zu hoch",60)</f>
        <v>60</v>
      </c>
      <c r="C24" s="130">
        <f t="shared" si="5"/>
        <v>60</v>
      </c>
      <c r="D24" s="131" t="e">
        <f t="shared" si="2"/>
        <v>#DIV/0!</v>
      </c>
      <c r="E24" s="132">
        <f t="shared" si="6"/>
        <v>0</v>
      </c>
      <c r="F24" s="133" t="e">
        <f t="shared" si="3"/>
        <v>#DIV/0!</v>
      </c>
      <c r="G24" s="131" t="str">
        <f t="shared" si="7"/>
        <v/>
      </c>
    </row>
    <row r="25" spans="1:7" x14ac:dyDescent="0.25">
      <c r="A25" s="130">
        <f t="shared" si="1"/>
        <v>0</v>
      </c>
      <c r="B25" s="130">
        <f>IF(A13="Nicht möglich","RND zu hoch",65)</f>
        <v>65</v>
      </c>
      <c r="C25" s="130">
        <f t="shared" si="5"/>
        <v>65</v>
      </c>
      <c r="D25" s="131" t="e">
        <f t="shared" si="2"/>
        <v>#DIV/0!</v>
      </c>
      <c r="E25" s="132">
        <f t="shared" si="6"/>
        <v>0</v>
      </c>
      <c r="F25" s="133" t="e">
        <f t="shared" si="3"/>
        <v>#DIV/0!</v>
      </c>
      <c r="G25" s="131" t="str">
        <f t="shared" si="7"/>
        <v/>
      </c>
    </row>
    <row r="26" spans="1:7" x14ac:dyDescent="0.25">
      <c r="A26" s="130">
        <f t="shared" si="1"/>
        <v>0</v>
      </c>
      <c r="B26" s="130">
        <f>IF(A13="Nicht möglich","RND zu hoch",70)</f>
        <v>70</v>
      </c>
      <c r="C26" s="130">
        <f t="shared" si="5"/>
        <v>70</v>
      </c>
      <c r="D26" s="131" t="e">
        <f t="shared" si="2"/>
        <v>#DIV/0!</v>
      </c>
      <c r="E26" s="132">
        <f t="shared" si="6"/>
        <v>0</v>
      </c>
      <c r="F26" s="133" t="e">
        <f t="shared" si="3"/>
        <v>#DIV/0!</v>
      </c>
      <c r="G26" s="131" t="str">
        <f t="shared" si="7"/>
        <v/>
      </c>
    </row>
    <row r="27" spans="1:7" x14ac:dyDescent="0.25">
      <c r="A27" s="130">
        <f t="shared" si="1"/>
        <v>0</v>
      </c>
      <c r="B27" s="130">
        <f>IF(A13="Nicht möglich","RND zu hoch",75)</f>
        <v>75</v>
      </c>
      <c r="C27" s="130">
        <f t="shared" si="5"/>
        <v>75</v>
      </c>
      <c r="D27" s="131" t="e">
        <f t="shared" si="2"/>
        <v>#DIV/0!</v>
      </c>
      <c r="E27" s="132">
        <f t="shared" si="6"/>
        <v>0</v>
      </c>
      <c r="F27" s="133" t="e">
        <f t="shared" si="3"/>
        <v>#DIV/0!</v>
      </c>
      <c r="G27" s="131" t="str">
        <f t="shared" si="7"/>
        <v/>
      </c>
    </row>
    <row r="28" spans="1:7" x14ac:dyDescent="0.25">
      <c r="A28" s="130">
        <f t="shared" si="1"/>
        <v>0</v>
      </c>
      <c r="B28" s="130">
        <f>IF(A13="Nicht möglich","RND zu hoch",80)</f>
        <v>80</v>
      </c>
      <c r="C28" s="130">
        <f t="shared" si="5"/>
        <v>80</v>
      </c>
      <c r="D28" s="131" t="e">
        <f t="shared" si="2"/>
        <v>#DIV/0!</v>
      </c>
      <c r="E28" s="132">
        <f>IF(OR(B28="RND zu hoch"),"",IF(AND(B28&gt;=30,C28&lt;&gt;"GLZ zu hoch"),$C$71,""))</f>
        <v>0</v>
      </c>
      <c r="F28" s="133" t="e">
        <f t="shared" si="3"/>
        <v>#DIV/0!</v>
      </c>
      <c r="G28" s="131" t="str">
        <f t="shared" si="7"/>
        <v/>
      </c>
    </row>
    <row r="29" spans="1:7" x14ac:dyDescent="0.25">
      <c r="A29" s="130">
        <f t="shared" si="1"/>
        <v>0</v>
      </c>
      <c r="B29" s="130">
        <f>IF(A13="Nicht möglich","RND zu hoch",85)</f>
        <v>85</v>
      </c>
      <c r="C29" s="130">
        <f t="shared" si="5"/>
        <v>85</v>
      </c>
      <c r="D29" s="131" t="e">
        <f t="shared" si="2"/>
        <v>#DIV/0!</v>
      </c>
      <c r="E29" s="132">
        <f>IF(OR(B29="RND zu hoch"),"",IF(AND(B29&gt;=30,C29&lt;&gt;"GLZ zu hoch"),$C$71,""))</f>
        <v>0</v>
      </c>
      <c r="F29" s="133" t="e">
        <f t="shared" si="3"/>
        <v>#DIV/0!</v>
      </c>
      <c r="G29" s="131" t="str">
        <f t="shared" si="7"/>
        <v/>
      </c>
    </row>
    <row r="30" spans="1:7" x14ac:dyDescent="0.25">
      <c r="A30" s="130">
        <f t="shared" si="1"/>
        <v>0</v>
      </c>
      <c r="B30" s="130">
        <f>IF(A13="Nicht möglich","RND zu hoch",90)</f>
        <v>90</v>
      </c>
      <c r="C30" s="130">
        <f t="shared" si="5"/>
        <v>90</v>
      </c>
      <c r="D30" s="131" t="e">
        <f t="shared" si="2"/>
        <v>#DIV/0!</v>
      </c>
      <c r="E30" s="132">
        <f>IF(OR(B30="RND zu hoch"),"",IF(AND(B30&gt;=30,C30&lt;&gt;"GLZ zu hoch"),$C$71,""))</f>
        <v>0</v>
      </c>
      <c r="F30" s="133" t="e">
        <f t="shared" si="3"/>
        <v>#DIV/0!</v>
      </c>
      <c r="G30" s="131" t="str">
        <f t="shared" si="7"/>
        <v/>
      </c>
    </row>
    <row r="31" spans="1:7" x14ac:dyDescent="0.25">
      <c r="A31" s="130">
        <f t="shared" si="1"/>
        <v>0</v>
      </c>
      <c r="B31" s="130">
        <f>IF(A13="Nicht möglich","RND zu hoch",95)</f>
        <v>95</v>
      </c>
      <c r="C31" s="130">
        <f t="shared" si="5"/>
        <v>95</v>
      </c>
      <c r="D31" s="131" t="e">
        <f t="shared" si="2"/>
        <v>#DIV/0!</v>
      </c>
      <c r="E31" s="132">
        <f>IF(OR(B31="RND zu hoch"),"",IF(AND(B31&gt;=30,C31&lt;&gt;"GLZ zu hoch"),$C$71,""))</f>
        <v>0</v>
      </c>
      <c r="F31" s="133" t="e">
        <f t="shared" si="3"/>
        <v>#DIV/0!</v>
      </c>
      <c r="G31" s="131" t="str">
        <f t="shared" si="7"/>
        <v/>
      </c>
    </row>
    <row r="32" spans="1:7" x14ac:dyDescent="0.25">
      <c r="A32" s="130"/>
      <c r="B32" s="130"/>
      <c r="C32" s="130"/>
      <c r="D32" s="131"/>
      <c r="E32" s="132"/>
      <c r="F32" s="133"/>
      <c r="G32" s="131"/>
    </row>
    <row r="33" spans="1:7" x14ac:dyDescent="0.25">
      <c r="A33" s="134">
        <f t="shared" si="1"/>
        <v>0</v>
      </c>
      <c r="B33" s="134">
        <f>IF(A15="Nicht möglich","RND zu hoch",G6-D6)</f>
        <v>99</v>
      </c>
      <c r="C33" s="134">
        <f>IF(B33="RND zu hoch","",IF(SUM(A33+B33)&gt;99,"GLZ zu hoch",A33+B33))</f>
        <v>99</v>
      </c>
      <c r="D33" s="135" t="e">
        <f t="shared" ref="D33" si="8">(IF(OR(A33="Nicht möglich",C33="Nicht möglich",C33="GLZ zu hoch"),"",($D$7*A33+$D$8*B33)/C33))</f>
        <v>#DIV/0!</v>
      </c>
      <c r="E33" s="136">
        <f>IF(OR(B33="RND zu hoch"),"",IF(AND(B33&gt;=30,C33&lt;&gt;"GLZ zu hoch"),$D$9,""))</f>
        <v>0</v>
      </c>
      <c r="F33" s="137" t="e">
        <f t="shared" ref="F33" si="9">IF(E33="","",D33*E33)</f>
        <v>#DIV/0!</v>
      </c>
      <c r="G33" s="135" t="str">
        <f>IF(E33&gt;0,D33-F33,"")</f>
        <v/>
      </c>
    </row>
  </sheetData>
  <sheetProtection sheet="1" objects="1" scenarios="1"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Hauptblatt</vt:lpstr>
      <vt:lpstr>Anlage I</vt:lpstr>
      <vt:lpstr>Anlage 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Gerlach</dc:creator>
  <cp:lastModifiedBy>Kathrin Greskoetter</cp:lastModifiedBy>
  <cp:lastPrinted>2022-01-13T15:37:30Z</cp:lastPrinted>
  <dcterms:created xsi:type="dcterms:W3CDTF">2018-09-15T04:17:37Z</dcterms:created>
  <dcterms:modified xsi:type="dcterms:W3CDTF">2022-07-28T07:31:09Z</dcterms:modified>
</cp:coreProperties>
</file>